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kateruny/Downloads/"/>
    </mc:Choice>
  </mc:AlternateContent>
  <xr:revisionPtr revIDLastSave="0" documentId="8_{D15667B1-8B0D-B545-B4F9-FC903FB02B50}" xr6:coauthVersionLast="47" xr6:coauthVersionMax="47" xr10:uidLastSave="{00000000-0000-0000-0000-000000000000}"/>
  <bookViews>
    <workbookView xWindow="-37260" yWindow="600" windowWidth="32700" windowHeight="19400" tabRatio="500" xr2:uid="{00000000-000D-0000-FFFF-FFFF00000000}"/>
  </bookViews>
  <sheets>
    <sheet name="📋 Inputs" sheetId="1" r:id="rId1"/>
    <sheet name="📊 Budget Summary" sheetId="2" r:id="rId2"/>
    <sheet name="🐱 Cat Curve Intake" sheetId="4" r:id="rId3"/>
    <sheet name="📅 Monthly View" sheetId="3" r:id="rId4"/>
    <sheet name="🔄 Scenarios" sheetId="5" r:id="rId5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8" i="3" l="1"/>
  <c r="E19" i="5"/>
  <c r="D14" i="5"/>
  <c r="D16" i="5" s="1"/>
  <c r="C14" i="5"/>
  <c r="C16" i="5" s="1"/>
  <c r="E9" i="5"/>
  <c r="D4" i="5"/>
  <c r="D5" i="5" s="1"/>
  <c r="C4" i="5"/>
  <c r="C7" i="5" s="1"/>
  <c r="O6" i="4"/>
  <c r="M65" i="3"/>
  <c r="E138" i="2"/>
  <c r="F138" i="2" s="1"/>
  <c r="D138" i="2"/>
  <c r="E137" i="2"/>
  <c r="F137" i="2" s="1"/>
  <c r="F68" i="3" s="1"/>
  <c r="D137" i="2"/>
  <c r="F136" i="2"/>
  <c r="E136" i="2"/>
  <c r="D136" i="2"/>
  <c r="E135" i="2"/>
  <c r="F135" i="2" s="1"/>
  <c r="D135" i="2"/>
  <c r="E134" i="2"/>
  <c r="D134" i="2"/>
  <c r="F134" i="2" s="1"/>
  <c r="F133" i="2"/>
  <c r="E133" i="2"/>
  <c r="F129" i="2"/>
  <c r="E129" i="2"/>
  <c r="D129" i="2"/>
  <c r="E128" i="2"/>
  <c r="D128" i="2"/>
  <c r="E127" i="2"/>
  <c r="F127" i="2" s="1"/>
  <c r="D127" i="2"/>
  <c r="E126" i="2"/>
  <c r="E122" i="2"/>
  <c r="D122" i="2"/>
  <c r="F122" i="2" s="1"/>
  <c r="F121" i="2"/>
  <c r="E121" i="2"/>
  <c r="D121" i="2"/>
  <c r="E120" i="2"/>
  <c r="D120" i="2"/>
  <c r="F116" i="2"/>
  <c r="F117" i="2" s="1"/>
  <c r="E116" i="2"/>
  <c r="D116" i="2"/>
  <c r="E112" i="2"/>
  <c r="D112" i="2"/>
  <c r="E111" i="2"/>
  <c r="F111" i="2" s="1"/>
  <c r="D111" i="2"/>
  <c r="E110" i="2"/>
  <c r="F110" i="2" s="1"/>
  <c r="D110" i="2"/>
  <c r="E109" i="2"/>
  <c r="E108" i="2"/>
  <c r="E107" i="2"/>
  <c r="D107" i="2"/>
  <c r="F107" i="2" s="1"/>
  <c r="F106" i="2"/>
  <c r="E106" i="2"/>
  <c r="D106" i="2"/>
  <c r="E102" i="2"/>
  <c r="F102" i="2" s="1"/>
  <c r="D102" i="2"/>
  <c r="E101" i="2"/>
  <c r="F101" i="2" s="1"/>
  <c r="D101" i="2"/>
  <c r="F100" i="2"/>
  <c r="E100" i="2"/>
  <c r="D100" i="2"/>
  <c r="E99" i="2"/>
  <c r="D99" i="2"/>
  <c r="F99" i="2" s="1"/>
  <c r="E98" i="2"/>
  <c r="E97" i="2"/>
  <c r="E96" i="2"/>
  <c r="D96" i="2"/>
  <c r="E95" i="2"/>
  <c r="F95" i="2" s="1"/>
  <c r="D95" i="2"/>
  <c r="E94" i="2"/>
  <c r="E93" i="2"/>
  <c r="F93" i="2" s="1"/>
  <c r="D93" i="2"/>
  <c r="E92" i="2"/>
  <c r="F92" i="2" s="1"/>
  <c r="D92" i="2"/>
  <c r="E91" i="2"/>
  <c r="D91" i="2"/>
  <c r="F91" i="2" s="1"/>
  <c r="F90" i="2"/>
  <c r="E90" i="2"/>
  <c r="D90" i="2"/>
  <c r="E89" i="2"/>
  <c r="E88" i="2"/>
  <c r="E84" i="2"/>
  <c r="F84" i="2" s="1"/>
  <c r="D84" i="2"/>
  <c r="E83" i="2"/>
  <c r="D83" i="2"/>
  <c r="F83" i="2" s="1"/>
  <c r="F82" i="2"/>
  <c r="E82" i="2"/>
  <c r="D82" i="2"/>
  <c r="F81" i="2"/>
  <c r="E81" i="2"/>
  <c r="D81" i="2"/>
  <c r="E80" i="2"/>
  <c r="D80" i="2"/>
  <c r="E79" i="2"/>
  <c r="D79" i="2"/>
  <c r="E78" i="2"/>
  <c r="F78" i="2" s="1"/>
  <c r="D78" i="2"/>
  <c r="E77" i="2"/>
  <c r="E76" i="2"/>
  <c r="F76" i="2" s="1"/>
  <c r="D76" i="2"/>
  <c r="F75" i="2"/>
  <c r="E75" i="2"/>
  <c r="D75" i="2"/>
  <c r="E71" i="2"/>
  <c r="E70" i="2"/>
  <c r="E66" i="2"/>
  <c r="E65" i="2"/>
  <c r="E64" i="2"/>
  <c r="D64" i="2"/>
  <c r="E60" i="2"/>
  <c r="E59" i="2"/>
  <c r="D59" i="2"/>
  <c r="F59" i="2" s="1"/>
  <c r="E58" i="2"/>
  <c r="E57" i="2"/>
  <c r="E53" i="2"/>
  <c r="F53" i="2" s="1"/>
  <c r="D53" i="2"/>
  <c r="E52" i="2"/>
  <c r="F52" i="2" s="1"/>
  <c r="D52" i="2"/>
  <c r="E51" i="2"/>
  <c r="D51" i="2"/>
  <c r="F51" i="2" s="1"/>
  <c r="E50" i="2"/>
  <c r="E49" i="2"/>
  <c r="E48" i="2"/>
  <c r="E47" i="2"/>
  <c r="E46" i="2"/>
  <c r="F42" i="2"/>
  <c r="E42" i="2"/>
  <c r="D42" i="2"/>
  <c r="E41" i="2"/>
  <c r="E40" i="2"/>
  <c r="D40" i="2"/>
  <c r="E39" i="2"/>
  <c r="E38" i="2"/>
  <c r="E34" i="2"/>
  <c r="F33" i="2"/>
  <c r="E33" i="2"/>
  <c r="D33" i="2"/>
  <c r="E32" i="2"/>
  <c r="D32" i="2"/>
  <c r="E31" i="2"/>
  <c r="D31" i="2"/>
  <c r="F31" i="2" s="1"/>
  <c r="E30" i="2"/>
  <c r="F30" i="2" s="1"/>
  <c r="D30" i="2"/>
  <c r="E29" i="2"/>
  <c r="F29" i="2" s="1"/>
  <c r="D29" i="2"/>
  <c r="F28" i="2"/>
  <c r="E28" i="2"/>
  <c r="D28" i="2"/>
  <c r="E27" i="2"/>
  <c r="E26" i="2"/>
  <c r="E25" i="2"/>
  <c r="E24" i="2"/>
  <c r="E23" i="2"/>
  <c r="E22" i="2"/>
  <c r="E21" i="2"/>
  <c r="E20" i="2"/>
  <c r="D15" i="2"/>
  <c r="D13" i="2"/>
  <c r="D11" i="2"/>
  <c r="D9" i="2"/>
  <c r="D5" i="2"/>
  <c r="C5" i="2"/>
  <c r="B5" i="2"/>
  <c r="E100" i="1"/>
  <c r="D109" i="2" s="1"/>
  <c r="E99" i="1"/>
  <c r="D108" i="2" s="1"/>
  <c r="E59" i="1"/>
  <c r="E56" i="1"/>
  <c r="D60" i="2" s="1"/>
  <c r="F60" i="2" s="1"/>
  <c r="E55" i="1"/>
  <c r="E39" i="1"/>
  <c r="D41" i="2" s="1"/>
  <c r="F41" i="2" s="1"/>
  <c r="E38" i="1"/>
  <c r="E37" i="1"/>
  <c r="D39" i="2" s="1"/>
  <c r="E36" i="1"/>
  <c r="D38" i="2" s="1"/>
  <c r="E33" i="1"/>
  <c r="D34" i="2" s="1"/>
  <c r="F34" i="2" s="1"/>
  <c r="E26" i="1"/>
  <c r="D27" i="2" s="1"/>
  <c r="F27" i="2" s="1"/>
  <c r="E25" i="1"/>
  <c r="D26" i="2" s="1"/>
  <c r="E24" i="1"/>
  <c r="D25" i="2" s="1"/>
  <c r="F25" i="2" s="1"/>
  <c r="O19" i="3" s="1"/>
  <c r="E23" i="1"/>
  <c r="D24" i="2" s="1"/>
  <c r="E22" i="1"/>
  <c r="D23" i="2" s="1"/>
  <c r="E21" i="1"/>
  <c r="D22" i="2" s="1"/>
  <c r="H14" i="1"/>
  <c r="O11" i="3" s="1"/>
  <c r="F14" i="1"/>
  <c r="H13" i="1"/>
  <c r="F13" i="1"/>
  <c r="H12" i="1"/>
  <c r="F12" i="1"/>
  <c r="H11" i="1"/>
  <c r="F11" i="1"/>
  <c r="D8" i="1"/>
  <c r="D66" i="2" s="1"/>
  <c r="F66" i="2" s="1"/>
  <c r="C8" i="1"/>
  <c r="O12" i="3" l="1"/>
  <c r="D11" i="3"/>
  <c r="D12" i="3" s="1"/>
  <c r="E11" i="3"/>
  <c r="E12" i="3" s="1"/>
  <c r="F11" i="3"/>
  <c r="F12" i="3" s="1"/>
  <c r="G11" i="3"/>
  <c r="G12" i="3" s="1"/>
  <c r="H11" i="3"/>
  <c r="H12" i="3" s="1"/>
  <c r="I11" i="3"/>
  <c r="I12" i="3" s="1"/>
  <c r="J11" i="3"/>
  <c r="J12" i="3" s="1"/>
  <c r="K11" i="3"/>
  <c r="K12" i="3" s="1"/>
  <c r="L11" i="3"/>
  <c r="L12" i="3" s="1"/>
  <c r="M11" i="3"/>
  <c r="M12" i="3" s="1"/>
  <c r="N11" i="3"/>
  <c r="N12" i="3" s="1"/>
  <c r="C11" i="3"/>
  <c r="C12" i="3" s="1"/>
  <c r="O9" i="3"/>
  <c r="F13" i="2"/>
  <c r="O7" i="3"/>
  <c r="F11" i="2"/>
  <c r="O5" i="3"/>
  <c r="F9" i="2"/>
  <c r="F108" i="2"/>
  <c r="F23" i="2"/>
  <c r="H17" i="3" s="1"/>
  <c r="E16" i="5"/>
  <c r="D50" i="2"/>
  <c r="F50" i="2" s="1"/>
  <c r="D58" i="2"/>
  <c r="F58" i="2" s="1"/>
  <c r="D21" i="2"/>
  <c r="F21" i="2" s="1"/>
  <c r="F26" i="2"/>
  <c r="O20" i="3" s="1"/>
  <c r="F109" i="2"/>
  <c r="K55" i="3"/>
  <c r="C55" i="3"/>
  <c r="J55" i="3"/>
  <c r="I55" i="3"/>
  <c r="O55" i="3"/>
  <c r="G55" i="3"/>
  <c r="F55" i="3"/>
  <c r="E55" i="3"/>
  <c r="D55" i="3"/>
  <c r="N55" i="3"/>
  <c r="M55" i="3"/>
  <c r="L55" i="3"/>
  <c r="H55" i="3"/>
  <c r="O37" i="3"/>
  <c r="D17" i="3"/>
  <c r="K17" i="3"/>
  <c r="C17" i="3"/>
  <c r="G17" i="3"/>
  <c r="F17" i="3"/>
  <c r="O17" i="3"/>
  <c r="M17" i="3"/>
  <c r="I17" i="3"/>
  <c r="J17" i="3"/>
  <c r="O66" i="3"/>
  <c r="G66" i="3"/>
  <c r="N66" i="3"/>
  <c r="F66" i="3"/>
  <c r="M66" i="3"/>
  <c r="E66" i="3"/>
  <c r="K66" i="3"/>
  <c r="C66" i="3"/>
  <c r="J66" i="3"/>
  <c r="I66" i="3"/>
  <c r="H66" i="3"/>
  <c r="D66" i="3"/>
  <c r="L66" i="3"/>
  <c r="O42" i="3"/>
  <c r="O21" i="3"/>
  <c r="O26" i="3"/>
  <c r="O62" i="3"/>
  <c r="F24" i="2"/>
  <c r="O61" i="3"/>
  <c r="J67" i="3"/>
  <c r="I67" i="3"/>
  <c r="H67" i="3"/>
  <c r="N67" i="3"/>
  <c r="F67" i="3"/>
  <c r="M67" i="3"/>
  <c r="L67" i="3"/>
  <c r="K67" i="3"/>
  <c r="G67" i="3"/>
  <c r="E67" i="3"/>
  <c r="D67" i="3"/>
  <c r="F79" i="2"/>
  <c r="H54" i="3"/>
  <c r="O54" i="3"/>
  <c r="G54" i="3"/>
  <c r="N54" i="3"/>
  <c r="F54" i="3"/>
  <c r="L54" i="3"/>
  <c r="D54" i="3"/>
  <c r="C54" i="3"/>
  <c r="M54" i="3"/>
  <c r="K54" i="3"/>
  <c r="J54" i="3"/>
  <c r="I54" i="3"/>
  <c r="C67" i="3"/>
  <c r="F22" i="2"/>
  <c r="D47" i="2"/>
  <c r="F47" i="2" s="1"/>
  <c r="D65" i="2"/>
  <c r="F65" i="2" s="1"/>
  <c r="D71" i="2"/>
  <c r="F71" i="2" s="1"/>
  <c r="F80" i="2"/>
  <c r="O67" i="3"/>
  <c r="F39" i="2"/>
  <c r="O38" i="3"/>
  <c r="H58" i="3"/>
  <c r="O58" i="3"/>
  <c r="G58" i="3"/>
  <c r="N58" i="3"/>
  <c r="F58" i="3"/>
  <c r="L58" i="3"/>
  <c r="D58" i="3"/>
  <c r="K58" i="3"/>
  <c r="J58" i="3"/>
  <c r="I58" i="3"/>
  <c r="E58" i="3"/>
  <c r="F40" i="2"/>
  <c r="F15" i="2"/>
  <c r="H69" i="3"/>
  <c r="O69" i="3"/>
  <c r="G69" i="3"/>
  <c r="N69" i="3"/>
  <c r="F69" i="3"/>
  <c r="L69" i="3"/>
  <c r="D69" i="3"/>
  <c r="C69" i="3"/>
  <c r="M69" i="3"/>
  <c r="K69" i="3"/>
  <c r="J69" i="3"/>
  <c r="O27" i="3"/>
  <c r="F139" i="2"/>
  <c r="L65" i="3"/>
  <c r="D65" i="3"/>
  <c r="K65" i="3"/>
  <c r="C65" i="3"/>
  <c r="J65" i="3"/>
  <c r="H65" i="3"/>
  <c r="G65" i="3"/>
  <c r="F65" i="3"/>
  <c r="E65" i="3"/>
  <c r="O65" i="3"/>
  <c r="N65" i="3"/>
  <c r="E54" i="3"/>
  <c r="D48" i="2"/>
  <c r="F48" i="2" s="1"/>
  <c r="D98" i="2"/>
  <c r="F98" i="2" s="1"/>
  <c r="F113" i="2"/>
  <c r="E69" i="3"/>
  <c r="F112" i="2"/>
  <c r="F96" i="2"/>
  <c r="F128" i="2"/>
  <c r="F32" i="2"/>
  <c r="F38" i="2"/>
  <c r="D57" i="2"/>
  <c r="F57" i="2" s="1"/>
  <c r="F120" i="2"/>
  <c r="I69" i="3"/>
  <c r="F14" i="2"/>
  <c r="F64" i="2"/>
  <c r="M68" i="3"/>
  <c r="E68" i="3"/>
  <c r="L68" i="3"/>
  <c r="D68" i="3"/>
  <c r="K68" i="3"/>
  <c r="C68" i="3"/>
  <c r="I68" i="3"/>
  <c r="O68" i="3"/>
  <c r="N68" i="3"/>
  <c r="J68" i="3"/>
  <c r="H68" i="3"/>
  <c r="G68" i="3"/>
  <c r="D20" i="2"/>
  <c r="F20" i="2" s="1"/>
  <c r="E5" i="2"/>
  <c r="D97" i="2"/>
  <c r="F97" i="2" s="1"/>
  <c r="D89" i="2"/>
  <c r="F89" i="2" s="1"/>
  <c r="D126" i="2"/>
  <c r="F126" i="2" s="1"/>
  <c r="D94" i="2"/>
  <c r="F94" i="2" s="1"/>
  <c r="D70" i="2"/>
  <c r="F70" i="2" s="1"/>
  <c r="D46" i="2"/>
  <c r="F46" i="2" s="1"/>
  <c r="D77" i="2"/>
  <c r="F77" i="2" s="1"/>
  <c r="F10" i="2"/>
  <c r="F12" i="2"/>
  <c r="D49" i="2"/>
  <c r="F49" i="2" s="1"/>
  <c r="D88" i="2"/>
  <c r="F88" i="2" s="1"/>
  <c r="M58" i="3"/>
  <c r="I65" i="3"/>
  <c r="D7" i="5"/>
  <c r="E7" i="5" s="1"/>
  <c r="C18" i="5"/>
  <c r="C15" i="5"/>
  <c r="D18" i="5"/>
  <c r="E4" i="5"/>
  <c r="C6" i="5"/>
  <c r="D15" i="5"/>
  <c r="D6" i="5"/>
  <c r="C17" i="5"/>
  <c r="C8" i="5"/>
  <c r="D17" i="5"/>
  <c r="C5" i="5"/>
  <c r="E5" i="5" s="1"/>
  <c r="D8" i="5"/>
  <c r="E14" i="5"/>
  <c r="D9" i="3" l="1"/>
  <c r="E9" i="3"/>
  <c r="F9" i="3"/>
  <c r="G9" i="3"/>
  <c r="H9" i="3"/>
  <c r="I9" i="3"/>
  <c r="J9" i="3"/>
  <c r="K9" i="3"/>
  <c r="L9" i="3"/>
  <c r="M9" i="3"/>
  <c r="N9" i="3"/>
  <c r="C9" i="3"/>
  <c r="D7" i="3"/>
  <c r="E7" i="3"/>
  <c r="F7" i="3"/>
  <c r="G7" i="3"/>
  <c r="H7" i="3"/>
  <c r="I7" i="3"/>
  <c r="J7" i="3"/>
  <c r="K7" i="3"/>
  <c r="L7" i="3"/>
  <c r="M7" i="3"/>
  <c r="N7" i="3"/>
  <c r="C7" i="3"/>
  <c r="C8" i="3" s="1"/>
  <c r="D5" i="3"/>
  <c r="E5" i="3"/>
  <c r="F5" i="3"/>
  <c r="G5" i="3"/>
  <c r="H5" i="3"/>
  <c r="I5" i="3"/>
  <c r="J5" i="3"/>
  <c r="K5" i="3"/>
  <c r="L5" i="3"/>
  <c r="M5" i="3"/>
  <c r="N5" i="3"/>
  <c r="C5" i="3"/>
  <c r="O10" i="3"/>
  <c r="O15" i="3"/>
  <c r="O36" i="3"/>
  <c r="E15" i="5"/>
  <c r="O33" i="3"/>
  <c r="N17" i="3"/>
  <c r="L17" i="3"/>
  <c r="E6" i="5"/>
  <c r="E17" i="3"/>
  <c r="E17" i="5"/>
  <c r="O45" i="3"/>
  <c r="O63" i="3"/>
  <c r="F85" i="2"/>
  <c r="O30" i="3"/>
  <c r="O14" i="3"/>
  <c r="F35" i="2"/>
  <c r="O57" i="3"/>
  <c r="F130" i="2"/>
  <c r="O35" i="3"/>
  <c r="F61" i="2"/>
  <c r="J23" i="3"/>
  <c r="I23" i="3"/>
  <c r="O23" i="3"/>
  <c r="G23" i="3"/>
  <c r="K23" i="3"/>
  <c r="H23" i="3"/>
  <c r="F23" i="3"/>
  <c r="E23" i="3"/>
  <c r="D23" i="3"/>
  <c r="N23" i="3"/>
  <c r="C23" i="3"/>
  <c r="M23" i="3"/>
  <c r="L23" i="3"/>
  <c r="F43" i="2"/>
  <c r="O16" i="3"/>
  <c r="O44" i="3"/>
  <c r="F72" i="2"/>
  <c r="M24" i="3"/>
  <c r="E24" i="3"/>
  <c r="L24" i="3"/>
  <c r="D24" i="3"/>
  <c r="J24" i="3"/>
  <c r="I24" i="3"/>
  <c r="H24" i="3"/>
  <c r="G24" i="3"/>
  <c r="F24" i="3"/>
  <c r="C24" i="3"/>
  <c r="O24" i="3"/>
  <c r="K24" i="3"/>
  <c r="N24" i="3"/>
  <c r="O49" i="3"/>
  <c r="O31" i="3"/>
  <c r="O47" i="3"/>
  <c r="F103" i="2"/>
  <c r="O18" i="3"/>
  <c r="G18" i="3"/>
  <c r="N18" i="3"/>
  <c r="F18" i="3"/>
  <c r="E18" i="3"/>
  <c r="D18" i="3"/>
  <c r="M18" i="3"/>
  <c r="C18" i="3"/>
  <c r="L18" i="3"/>
  <c r="K18" i="3"/>
  <c r="J18" i="3"/>
  <c r="I18" i="3"/>
  <c r="H18" i="3"/>
  <c r="O29" i="3"/>
  <c r="F54" i="2"/>
  <c r="E18" i="5"/>
  <c r="O32" i="3"/>
  <c r="O48" i="3"/>
  <c r="J40" i="3"/>
  <c r="I40" i="3"/>
  <c r="H40" i="3"/>
  <c r="N40" i="3"/>
  <c r="F40" i="3"/>
  <c r="E40" i="3"/>
  <c r="D40" i="3"/>
  <c r="C40" i="3"/>
  <c r="O40" i="3"/>
  <c r="M40" i="3"/>
  <c r="L40" i="3"/>
  <c r="G40" i="3"/>
  <c r="F67" i="2"/>
  <c r="K40" i="3"/>
  <c r="K59" i="3"/>
  <c r="C59" i="3"/>
  <c r="J59" i="3"/>
  <c r="I59" i="3"/>
  <c r="O59" i="3"/>
  <c r="G59" i="3"/>
  <c r="N59" i="3"/>
  <c r="M59" i="3"/>
  <c r="L59" i="3"/>
  <c r="H59" i="3"/>
  <c r="F59" i="3"/>
  <c r="E59" i="3"/>
  <c r="D59" i="3"/>
  <c r="O51" i="3"/>
  <c r="O41" i="3"/>
  <c r="E8" i="5"/>
  <c r="O50" i="3"/>
  <c r="M53" i="3"/>
  <c r="E53" i="3"/>
  <c r="L53" i="3"/>
  <c r="D53" i="3"/>
  <c r="K53" i="3"/>
  <c r="C53" i="3"/>
  <c r="I53" i="3"/>
  <c r="O53" i="3"/>
  <c r="O52" i="3" s="1"/>
  <c r="N53" i="3"/>
  <c r="J53" i="3"/>
  <c r="H53" i="3"/>
  <c r="G53" i="3"/>
  <c r="F123" i="2"/>
  <c r="F53" i="3"/>
  <c r="F16" i="2"/>
  <c r="O25" i="3"/>
  <c r="O60" i="3" l="1"/>
  <c r="O34" i="3"/>
  <c r="O28" i="3"/>
  <c r="O56" i="3"/>
  <c r="O39" i="3"/>
  <c r="F17" i="2"/>
  <c r="F141" i="2" s="1"/>
  <c r="O43" i="3"/>
  <c r="O46" i="3"/>
  <c r="O22" i="3"/>
  <c r="O13" i="3"/>
  <c r="F8" i="5" l="1"/>
  <c r="G8" i="5" s="1"/>
  <c r="F6" i="5"/>
  <c r="G6" i="5" s="1"/>
  <c r="F4" i="5"/>
  <c r="G4" i="5" s="1"/>
  <c r="F9" i="5"/>
  <c r="G9" i="5" s="1"/>
  <c r="F7" i="5"/>
  <c r="G7" i="5" s="1"/>
  <c r="F5" i="5"/>
  <c r="G5" i="5" s="1"/>
  <c r="F142" i="2"/>
  <c r="G5" i="2" s="1"/>
  <c r="F5" i="2"/>
  <c r="O9" i="4"/>
  <c r="F10" i="4"/>
  <c r="F10" i="3"/>
  <c r="F8" i="3" l="1"/>
  <c r="F20" i="3"/>
  <c r="F25" i="3"/>
  <c r="F21" i="3"/>
  <c r="F38" i="3"/>
  <c r="F26" i="3"/>
  <c r="F14" i="3"/>
  <c r="F35" i="3"/>
  <c r="F15" i="3"/>
  <c r="F32" i="3"/>
  <c r="F50" i="3"/>
  <c r="F29" i="3"/>
  <c r="F51" i="3"/>
  <c r="F36" i="3"/>
  <c r="F57" i="3"/>
  <c r="F48" i="3"/>
  <c r="F45" i="3"/>
  <c r="F16" i="3"/>
  <c r="F31" i="3"/>
  <c r="F63" i="3"/>
  <c r="F44" i="3"/>
  <c r="F49" i="3"/>
  <c r="F33" i="3"/>
  <c r="F30" i="3"/>
  <c r="F47" i="3"/>
  <c r="F41" i="3"/>
  <c r="F19" i="3"/>
  <c r="F61" i="3"/>
  <c r="F27" i="3"/>
  <c r="F37" i="3"/>
  <c r="F42" i="3"/>
  <c r="F62" i="3"/>
  <c r="I10" i="4"/>
  <c r="H10" i="4"/>
  <c r="K10" i="4"/>
  <c r="E10" i="4"/>
  <c r="G10" i="4"/>
  <c r="N10" i="4"/>
  <c r="J10" i="4"/>
  <c r="M10" i="4"/>
  <c r="L10" i="4"/>
  <c r="D10" i="4"/>
  <c r="C10" i="4"/>
  <c r="C10" i="3" l="1"/>
  <c r="C62" i="3"/>
  <c r="C42" i="3"/>
  <c r="C37" i="3"/>
  <c r="C27" i="3"/>
  <c r="C61" i="3"/>
  <c r="C41" i="3"/>
  <c r="C47" i="3"/>
  <c r="C30" i="3"/>
  <c r="C33" i="3"/>
  <c r="C49" i="3"/>
  <c r="C44" i="3"/>
  <c r="C63" i="3"/>
  <c r="C31" i="3"/>
  <c r="C16" i="3"/>
  <c r="C45" i="3"/>
  <c r="C48" i="3"/>
  <c r="C57" i="3"/>
  <c r="C36" i="3"/>
  <c r="C51" i="3"/>
  <c r="C29" i="3"/>
  <c r="C50" i="3"/>
  <c r="C32" i="3"/>
  <c r="C15" i="3"/>
  <c r="C35" i="3"/>
  <c r="C14" i="3"/>
  <c r="C19" i="3"/>
  <c r="C21" i="3"/>
  <c r="C20" i="3"/>
  <c r="C38" i="3"/>
  <c r="C26" i="3"/>
  <c r="C25" i="3"/>
  <c r="O10" i="4"/>
  <c r="D10" i="3"/>
  <c r="D25" i="3"/>
  <c r="D38" i="3"/>
  <c r="D20" i="3"/>
  <c r="D26" i="3"/>
  <c r="D14" i="3"/>
  <c r="D35" i="3"/>
  <c r="D15" i="3"/>
  <c r="D32" i="3"/>
  <c r="D50" i="3"/>
  <c r="D29" i="3"/>
  <c r="D51" i="3"/>
  <c r="D36" i="3"/>
  <c r="D57" i="3"/>
  <c r="D48" i="3"/>
  <c r="D45" i="3"/>
  <c r="D16" i="3"/>
  <c r="D31" i="3"/>
  <c r="D63" i="3"/>
  <c r="D44" i="3"/>
  <c r="D49" i="3"/>
  <c r="D33" i="3"/>
  <c r="D30" i="3"/>
  <c r="D47" i="3"/>
  <c r="D41" i="3"/>
  <c r="D19" i="3"/>
  <c r="D21" i="3"/>
  <c r="D61" i="3"/>
  <c r="D27" i="3"/>
  <c r="D37" i="3"/>
  <c r="D42" i="3"/>
  <c r="D62" i="3"/>
  <c r="D8" i="3"/>
  <c r="L10" i="3"/>
  <c r="L8" i="3"/>
  <c r="L38" i="3"/>
  <c r="L25" i="3"/>
  <c r="L26" i="3"/>
  <c r="L20" i="3"/>
  <c r="L14" i="3"/>
  <c r="L35" i="3"/>
  <c r="L15" i="3"/>
  <c r="L32" i="3"/>
  <c r="L50" i="3"/>
  <c r="L29" i="3"/>
  <c r="L51" i="3"/>
  <c r="L36" i="3"/>
  <c r="L57" i="3"/>
  <c r="L48" i="3"/>
  <c r="L45" i="3"/>
  <c r="L16" i="3"/>
  <c r="L31" i="3"/>
  <c r="L63" i="3"/>
  <c r="L44" i="3"/>
  <c r="L49" i="3"/>
  <c r="L33" i="3"/>
  <c r="L30" i="3"/>
  <c r="L47" i="3"/>
  <c r="L41" i="3"/>
  <c r="L19" i="3"/>
  <c r="L21" i="3"/>
  <c r="L61" i="3"/>
  <c r="L27" i="3"/>
  <c r="L37" i="3"/>
  <c r="L42" i="3"/>
  <c r="L62" i="3"/>
  <c r="M10" i="3"/>
  <c r="M25" i="3"/>
  <c r="M21" i="3"/>
  <c r="M38" i="3"/>
  <c r="M26" i="3"/>
  <c r="M20" i="3"/>
  <c r="M14" i="3"/>
  <c r="M35" i="3"/>
  <c r="M15" i="3"/>
  <c r="M32" i="3"/>
  <c r="M50" i="3"/>
  <c r="M29" i="3"/>
  <c r="M51" i="3"/>
  <c r="M36" i="3"/>
  <c r="M57" i="3"/>
  <c r="M48" i="3"/>
  <c r="M45" i="3"/>
  <c r="M16" i="3"/>
  <c r="M31" i="3"/>
  <c r="M63" i="3"/>
  <c r="M44" i="3"/>
  <c r="M49" i="3"/>
  <c r="M33" i="3"/>
  <c r="M30" i="3"/>
  <c r="M47" i="3"/>
  <c r="M41" i="3"/>
  <c r="M19" i="3"/>
  <c r="M61" i="3"/>
  <c r="M27" i="3"/>
  <c r="M37" i="3"/>
  <c r="M42" i="3"/>
  <c r="M62" i="3"/>
  <c r="M8" i="3"/>
  <c r="J10" i="3"/>
  <c r="J8" i="3"/>
  <c r="J25" i="3"/>
  <c r="J38" i="3"/>
  <c r="J26" i="3"/>
  <c r="J21" i="3"/>
  <c r="J20" i="3"/>
  <c r="J14" i="3"/>
  <c r="J35" i="3"/>
  <c r="J15" i="3"/>
  <c r="J32" i="3"/>
  <c r="J50" i="3"/>
  <c r="J29" i="3"/>
  <c r="J51" i="3"/>
  <c r="J36" i="3"/>
  <c r="J57" i="3"/>
  <c r="J48" i="3"/>
  <c r="J45" i="3"/>
  <c r="J16" i="3"/>
  <c r="J31" i="3"/>
  <c r="J63" i="3"/>
  <c r="J44" i="3"/>
  <c r="J49" i="3"/>
  <c r="J33" i="3"/>
  <c r="J30" i="3"/>
  <c r="J47" i="3"/>
  <c r="J41" i="3"/>
  <c r="J19" i="3"/>
  <c r="J61" i="3"/>
  <c r="J27" i="3"/>
  <c r="J37" i="3"/>
  <c r="J42" i="3"/>
  <c r="J62" i="3"/>
  <c r="N10" i="3"/>
  <c r="N8" i="3"/>
  <c r="N19" i="3"/>
  <c r="N25" i="3"/>
  <c r="N14" i="3"/>
  <c r="N35" i="3"/>
  <c r="N15" i="3"/>
  <c r="N32" i="3"/>
  <c r="N50" i="3"/>
  <c r="N29" i="3"/>
  <c r="N51" i="3"/>
  <c r="N36" i="3"/>
  <c r="N57" i="3"/>
  <c r="N48" i="3"/>
  <c r="N45" i="3"/>
  <c r="N16" i="3"/>
  <c r="N31" i="3"/>
  <c r="N63" i="3"/>
  <c r="N44" i="3"/>
  <c r="N49" i="3"/>
  <c r="N33" i="3"/>
  <c r="N30" i="3"/>
  <c r="N47" i="3"/>
  <c r="N41" i="3"/>
  <c r="N21" i="3"/>
  <c r="N26" i="3"/>
  <c r="N20" i="3"/>
  <c r="N38" i="3"/>
  <c r="N61" i="3"/>
  <c r="N27" i="3"/>
  <c r="N37" i="3"/>
  <c r="N42" i="3"/>
  <c r="N62" i="3"/>
  <c r="G10" i="3"/>
  <c r="G25" i="3"/>
  <c r="G38" i="3"/>
  <c r="G26" i="3"/>
  <c r="G21" i="3"/>
  <c r="G14" i="3"/>
  <c r="G35" i="3"/>
  <c r="G15" i="3"/>
  <c r="G32" i="3"/>
  <c r="G50" i="3"/>
  <c r="G29" i="3"/>
  <c r="G51" i="3"/>
  <c r="G36" i="3"/>
  <c r="G57" i="3"/>
  <c r="G48" i="3"/>
  <c r="G45" i="3"/>
  <c r="G16" i="3"/>
  <c r="G31" i="3"/>
  <c r="G63" i="3"/>
  <c r="G44" i="3"/>
  <c r="G49" i="3"/>
  <c r="G33" i="3"/>
  <c r="G30" i="3"/>
  <c r="G47" i="3"/>
  <c r="G41" i="3"/>
  <c r="G19" i="3"/>
  <c r="G20" i="3"/>
  <c r="G61" i="3"/>
  <c r="G27" i="3"/>
  <c r="G37" i="3"/>
  <c r="G42" i="3"/>
  <c r="G62" i="3"/>
  <c r="G8" i="3"/>
  <c r="E10" i="3"/>
  <c r="E21" i="3"/>
  <c r="E25" i="3"/>
  <c r="E38" i="3"/>
  <c r="E26" i="3"/>
  <c r="E20" i="3"/>
  <c r="E14" i="3"/>
  <c r="E35" i="3"/>
  <c r="E15" i="3"/>
  <c r="E32" i="3"/>
  <c r="E50" i="3"/>
  <c r="E29" i="3"/>
  <c r="E51" i="3"/>
  <c r="E36" i="3"/>
  <c r="E57" i="3"/>
  <c r="E48" i="3"/>
  <c r="E45" i="3"/>
  <c r="E16" i="3"/>
  <c r="E31" i="3"/>
  <c r="E63" i="3"/>
  <c r="E44" i="3"/>
  <c r="E49" i="3"/>
  <c r="E33" i="3"/>
  <c r="E30" i="3"/>
  <c r="E47" i="3"/>
  <c r="E41" i="3"/>
  <c r="E19" i="3"/>
  <c r="E61" i="3"/>
  <c r="E27" i="3"/>
  <c r="E37" i="3"/>
  <c r="E42" i="3"/>
  <c r="E62" i="3"/>
  <c r="E8" i="3"/>
  <c r="K10" i="3"/>
  <c r="K25" i="3"/>
  <c r="K20" i="3"/>
  <c r="K21" i="3"/>
  <c r="K26" i="3"/>
  <c r="K14" i="3"/>
  <c r="K35" i="3"/>
  <c r="K15" i="3"/>
  <c r="K32" i="3"/>
  <c r="K50" i="3"/>
  <c r="K29" i="3"/>
  <c r="K51" i="3"/>
  <c r="K36" i="3"/>
  <c r="K57" i="3"/>
  <c r="K48" i="3"/>
  <c r="K45" i="3"/>
  <c r="K16" i="3"/>
  <c r="K31" i="3"/>
  <c r="K63" i="3"/>
  <c r="K44" i="3"/>
  <c r="K49" i="3"/>
  <c r="K33" i="3"/>
  <c r="K30" i="3"/>
  <c r="K47" i="3"/>
  <c r="K41" i="3"/>
  <c r="K19" i="3"/>
  <c r="K38" i="3"/>
  <c r="K61" i="3"/>
  <c r="K27" i="3"/>
  <c r="K37" i="3"/>
  <c r="K42" i="3"/>
  <c r="K62" i="3"/>
  <c r="K8" i="3"/>
  <c r="H10" i="3"/>
  <c r="H8" i="3"/>
  <c r="H26" i="3"/>
  <c r="H25" i="3"/>
  <c r="H21" i="3"/>
  <c r="H38" i="3"/>
  <c r="H20" i="3"/>
  <c r="H14" i="3"/>
  <c r="H35" i="3"/>
  <c r="H15" i="3"/>
  <c r="H32" i="3"/>
  <c r="H50" i="3"/>
  <c r="H29" i="3"/>
  <c r="H51" i="3"/>
  <c r="H36" i="3"/>
  <c r="H57" i="3"/>
  <c r="H48" i="3"/>
  <c r="H45" i="3"/>
  <c r="H16" i="3"/>
  <c r="H31" i="3"/>
  <c r="H63" i="3"/>
  <c r="H44" i="3"/>
  <c r="H49" i="3"/>
  <c r="H33" i="3"/>
  <c r="H30" i="3"/>
  <c r="H47" i="3"/>
  <c r="H41" i="3"/>
  <c r="H19" i="3"/>
  <c r="H61" i="3"/>
  <c r="H27" i="3"/>
  <c r="H37" i="3"/>
  <c r="H42" i="3"/>
  <c r="H62" i="3"/>
  <c r="I8" i="3"/>
  <c r="I19" i="3"/>
  <c r="I62" i="3"/>
  <c r="I42" i="3"/>
  <c r="I37" i="3"/>
  <c r="I27" i="3"/>
  <c r="I61" i="3"/>
  <c r="I41" i="3"/>
  <c r="I47" i="3"/>
  <c r="I30" i="3"/>
  <c r="I33" i="3"/>
  <c r="I49" i="3"/>
  <c r="I44" i="3"/>
  <c r="I63" i="3"/>
  <c r="I31" i="3"/>
  <c r="I16" i="3"/>
  <c r="I45" i="3"/>
  <c r="I48" i="3"/>
  <c r="I57" i="3"/>
  <c r="I36" i="3"/>
  <c r="I51" i="3"/>
  <c r="I29" i="3"/>
  <c r="I50" i="3"/>
  <c r="I32" i="3"/>
  <c r="I15" i="3"/>
  <c r="I35" i="3"/>
  <c r="I14" i="3"/>
  <c r="I21" i="3"/>
  <c r="I38" i="3"/>
  <c r="I26" i="3"/>
  <c r="I25" i="3"/>
  <c r="I20" i="3"/>
  <c r="I10" i="3"/>
  <c r="F6" i="3"/>
  <c r="F70" i="3" s="1"/>
  <c r="I6" i="3" l="1"/>
  <c r="I70" i="3"/>
  <c r="H6" i="3"/>
  <c r="H70" i="3" s="1"/>
  <c r="K6" i="3"/>
  <c r="K70" i="3" s="1"/>
  <c r="E6" i="3"/>
  <c r="E70" i="3" s="1"/>
  <c r="G6" i="3"/>
  <c r="G70" i="3" s="1"/>
  <c r="N6" i="3"/>
  <c r="N70" i="3" s="1"/>
  <c r="J6" i="3"/>
  <c r="J70" i="3" s="1"/>
  <c r="M6" i="3"/>
  <c r="M70" i="3" s="1"/>
  <c r="L6" i="3"/>
  <c r="L70" i="3" s="1"/>
  <c r="D6" i="3"/>
  <c r="D70" i="3" s="1"/>
  <c r="C6" i="3"/>
  <c r="O6" i="3" s="1"/>
  <c r="C70" i="3"/>
  <c r="O8" i="3"/>
  <c r="O4" i="3" l="1"/>
  <c r="G19" i="5"/>
  <c r="F19" i="5"/>
  <c r="G17" i="5"/>
  <c r="F17" i="5"/>
  <c r="G15" i="5"/>
  <c r="F15" i="5"/>
  <c r="G16" i="5"/>
  <c r="F16" i="5"/>
  <c r="G18" i="5"/>
  <c r="F18" i="5"/>
  <c r="G14" i="5"/>
  <c r="O64" i="3"/>
  <c r="O70" i="3"/>
  <c r="F14" i="5"/>
</calcChain>
</file>

<file path=xl/sharedStrings.xml><?xml version="1.0" encoding="utf-8"?>
<sst xmlns="http://schemas.openxmlformats.org/spreadsheetml/2006/main" count="665" uniqueCount="304">
  <si>
    <t>BEST FRIENDS ANIMAL SOCIETY  |  Animal Shelter Budget Tool — Partner Edition</t>
  </si>
  <si>
    <t>bestfriends.org  |  Adjust cat &amp; dog intake and any line item cost below — all budgets update automatically.</t>
  </si>
  <si>
    <t xml:space="preserve">  SECTION A – KEY INTAKE &amp; STAFFDRIVERS  (blue = edit here)</t>
  </si>
  <si>
    <t>Driver</t>
  </si>
  <si>
    <t>Baseline (700/800)</t>
  </si>
  <si>
    <t>Your Value</t>
  </si>
  <si>
    <t>Notes</t>
  </si>
  <si>
    <t>INTAKE</t>
  </si>
  <si>
    <t>Cat Annual Intake</t>
  </si>
  <si>
    <t>Dog Annual Intake</t>
  </si>
  <si>
    <t>Cat and Dog Annual Intake</t>
  </si>
  <si>
    <t>Number of staff</t>
  </si>
  <si>
    <t>per hour salary</t>
  </si>
  <si>
    <t>Hours per week</t>
  </si>
  <si>
    <t>Hours per year</t>
  </si>
  <si>
    <t>Total Cost</t>
  </si>
  <si>
    <t xml:space="preserve">  COMPENSATION</t>
  </si>
  <si>
    <t xml:space="preserve">  🐾 ACO (Animal Control Officer)</t>
  </si>
  <si>
    <t xml:space="preserve">  🐾 Shelter Manager/Supervisor</t>
  </si>
  <si>
    <t>🐾 FT Animal Care Staff 1</t>
  </si>
  <si>
    <t>🐾 PT Animal Care Staff</t>
  </si>
  <si>
    <t xml:space="preserve">  SECTION B – LINE ITEM COST OVERRIDES  (leave blank to use formula-driven defaults)</t>
  </si>
  <si>
    <t>Category</t>
  </si>
  <si>
    <t>Line Item</t>
  </si>
  <si>
    <t>Driver Basis</t>
  </si>
  <si>
    <t>Unit Cost ($)</t>
  </si>
  <si>
    <t>Override Annual ($)</t>
  </si>
  <si>
    <t>Notes / Source</t>
  </si>
  <si>
    <t xml:space="preserve">  ANIMAL CARE SUPPLIES</t>
  </si>
  <si>
    <t>🐾 Blankets</t>
  </si>
  <si>
    <t>Total Intake</t>
  </si>
  <si>
    <t>🐾 Paper Collars</t>
  </si>
  <si>
    <t>🐶 Dog Collars</t>
  </si>
  <si>
    <t>Dog Intake</t>
  </si>
  <si>
    <t>🐶 Muzzles</t>
  </si>
  <si>
    <t>Fixed</t>
  </si>
  <si>
    <t>🐶 Slip Leads</t>
  </si>
  <si>
    <t>🐱 Litter</t>
  </si>
  <si>
    <t>Cat Intake</t>
  </si>
  <si>
    <t>🐱 Cat Collars</t>
  </si>
  <si>
    <t>🐱 Litter Box</t>
  </si>
  <si>
    <t>🐾 Water Bowls</t>
  </si>
  <si>
    <t>🐾 Food Bowls</t>
  </si>
  <si>
    <t>🐾 Measuring Scoops</t>
  </si>
  <si>
    <t>🐾 Measuring Pitcher</t>
  </si>
  <si>
    <t>🐾 Food Storage Bins</t>
  </si>
  <si>
    <t>One-time</t>
  </si>
  <si>
    <t>🐾 Kuranda Beds</t>
  </si>
  <si>
    <t>🐱 Cat Carriers</t>
  </si>
  <si>
    <t xml:space="preserve">  ANIMAL FOOD – NON-RX</t>
  </si>
  <si>
    <t>🐶 Dry Dog Food (Purina 48lb)</t>
  </si>
  <si>
    <t>🐶 Wet Dog Food (38/24 cans)</t>
  </si>
  <si>
    <t>🐱 Dry Cat Food (Purina 13lb)</t>
  </si>
  <si>
    <t>🐱 Wet Cat Food (40/40 cans)</t>
  </si>
  <si>
    <t>🐾 Therapeutic Diet / Rx Food</t>
  </si>
  <si>
    <t>Override Only</t>
  </si>
  <si>
    <t xml:space="preserve">  MEDICAL SUPPLIES</t>
  </si>
  <si>
    <t>🐾 Gloves (11.99/100)</t>
  </si>
  <si>
    <t>🐾 Disposable Gowns (119/100)</t>
  </si>
  <si>
    <t>🐾 Shoe Covers (8.99/100)</t>
  </si>
  <si>
    <t>🐾 Syringes (36.03/100)</t>
  </si>
  <si>
    <t>🐾 Needles (17.79/100)</t>
  </si>
  <si>
    <t>🐾 Sharps Container</t>
  </si>
  <si>
    <t>🐾 Refrigerator</t>
  </si>
  <si>
    <t>🐾 Thermometer</t>
  </si>
  <si>
    <t xml:space="preserve">  VACCINES</t>
  </si>
  <si>
    <t>🐶 BbPi (Bordetella+Parainfluenza)</t>
  </si>
  <si>
    <t>🐶 Rabies Vaccine</t>
  </si>
  <si>
    <t>🐶 DHPP Vaccine</t>
  </si>
  <si>
    <t>🐱 FVRCP Vaccine</t>
  </si>
  <si>
    <t xml:space="preserve">  MEDICATIONS</t>
  </si>
  <si>
    <t>🐶 Heartworm Prevention</t>
  </si>
  <si>
    <t>🐾 Pyrantel (dewormer 42.99/32oz)</t>
  </si>
  <si>
    <t>🐾 Flea/Tick Prevention</t>
  </si>
  <si>
    <t xml:space="preserve">  EXTERNAL VET SERVICES</t>
  </si>
  <si>
    <t>🐾 Vet Services – Emergency</t>
  </si>
  <si>
    <t>🐾 Vet Services – Spay &amp; Neuter</t>
  </si>
  <si>
    <t xml:space="preserve">  OFFICE SUPPLIES</t>
  </si>
  <si>
    <t>🐾 Pens (18/50)</t>
  </si>
  <si>
    <t>🐾 Markers/Sharpies</t>
  </si>
  <si>
    <t>🐾 Paper (28/2500)</t>
  </si>
  <si>
    <t>🐾 Copy Machine/Printer</t>
  </si>
  <si>
    <t>🐾 Trash Can – Office</t>
  </si>
  <si>
    <t>🐾 Laptop</t>
  </si>
  <si>
    <t>🐾 Office Phone</t>
  </si>
  <si>
    <t>🐾 Two-Way Radios</t>
  </si>
  <si>
    <t>🐾 Digital Camera</t>
  </si>
  <si>
    <t>🐾 Filing Cabinet</t>
  </si>
  <si>
    <t xml:space="preserve">  CLEANING / JANITORIAL</t>
  </si>
  <si>
    <t>🐾 Rescue Disinfectant (52.99/gal)</t>
  </si>
  <si>
    <t>🐾 Dawn Dish Soap (15.14/70oz)</t>
  </si>
  <si>
    <t>🐾 Scoop/Shovel</t>
  </si>
  <si>
    <t>🐾 Scrub Brush (10.50/ea)</t>
  </si>
  <si>
    <t>🐾 Squeegee (28.99/ea)</t>
  </si>
  <si>
    <t>🐾 Mop Bucket &amp; Mop</t>
  </si>
  <si>
    <t>🐾 Mop Head Replacements</t>
  </si>
  <si>
    <t>🐾 Dust Pan &amp; Broom</t>
  </si>
  <si>
    <t>🐾 Spray Bottle (11.61/3pk)</t>
  </si>
  <si>
    <t>🐾 Garbage Bags (14.99/30)</t>
  </si>
  <si>
    <t>🐾 Laundry Detergent (64.98/5gal)</t>
  </si>
  <si>
    <t>🐾 Washer &amp; Dryer</t>
  </si>
  <si>
    <t>🐾 Industrial Trash Can</t>
  </si>
  <si>
    <t>🐾 Water Hose</t>
  </si>
  <si>
    <t>🐾 Hose Nozzle</t>
  </si>
  <si>
    <t xml:space="preserve">  SAFETY &amp; SECURITY</t>
  </si>
  <si>
    <t>🐾 First Aid Kit</t>
  </si>
  <si>
    <t>🐾 Control Pole</t>
  </si>
  <si>
    <t>🐱 Cat Bite Gloves</t>
  </si>
  <si>
    <t>🐱 Cat Net</t>
  </si>
  <si>
    <t xml:space="preserve">🐾 Fire Extinguisher </t>
  </si>
  <si>
    <t>🐾 Microchip Scanner</t>
  </si>
  <si>
    <t>🐾 Uniforms</t>
  </si>
  <si>
    <t xml:space="preserve">  FACILITIES / GROUNDS</t>
  </si>
  <si>
    <t>🐾 Shade Awnings</t>
  </si>
  <si>
    <t xml:space="preserve">  UTILITIES</t>
  </si>
  <si>
    <t>🐾 Utilities (electric/water/etc)</t>
  </si>
  <si>
    <t>🐾 Telephone</t>
  </si>
  <si>
    <t>🐾 WiFi / Internet</t>
  </si>
  <si>
    <t xml:space="preserve">  VEHICLE</t>
  </si>
  <si>
    <t>🐾 Vehicle – Fuel</t>
  </si>
  <si>
    <t>🐾 Vehicle – Insurance</t>
  </si>
  <si>
    <t>🐾 Vehicle – Registration</t>
  </si>
  <si>
    <t>🐾 Animal Transport Vehicle</t>
  </si>
  <si>
    <t xml:space="preserve">  OTHER</t>
  </si>
  <si>
    <t>🐾 Laboratory / Outside Service</t>
  </si>
  <si>
    <t>🐾 Employee Training &amp; Education</t>
  </si>
  <si>
    <t>🐾 Bank Charges</t>
  </si>
  <si>
    <t>🐾 Liability &amp; Fire Insurance</t>
  </si>
  <si>
    <t>🐾 Dues &amp; Subscriptions</t>
  </si>
  <si>
    <t>🐾 Miscellaneous</t>
  </si>
  <si>
    <t>HOW TO USE:  1) Enter your Cat and Dog intake numbers in Section A.  2) Optionally override any unit cost or enter an annual override in Section B.  3) See 📊 Budget Summary for the full calculated budget and cost-per-animal breakdown.</t>
  </si>
  <si>
    <t>BEST FRIENDS ANIMAL SOCIETY  |  Shelter Budget Summary</t>
  </si>
  <si>
    <t>bestfriends.org  |  Adjust cat &amp; dog intake and any line item cost in the 📋 Inputs tab — this summary updates automatically.</t>
  </si>
  <si>
    <t>Avg Daily Capacity</t>
  </si>
  <si>
    <t>Total Annual Budget</t>
  </si>
  <si>
    <t>Cost Per Animal</t>
  </si>
  <si>
    <t>Category / Line Item</t>
  </si>
  <si>
    <t>Calc Annual ($)</t>
  </si>
  <si>
    <t>Override ($)</t>
  </si>
  <si>
    <t>SELECTED ($)</t>
  </si>
  <si>
    <t>Species / Notes</t>
  </si>
  <si>
    <t>Staff Hours</t>
  </si>
  <si>
    <t>🐾 Both</t>
  </si>
  <si>
    <t xml:space="preserve">  🐾 ACO – Tax/Benefits (30%)</t>
  </si>
  <si>
    <t>% of Salary</t>
  </si>
  <si>
    <t xml:space="preserve">  🐾 SM/Sup – Tax/Benefits (30%)</t>
  </si>
  <si>
    <t>🐾 FT Shelter Staff</t>
  </si>
  <si>
    <t>🐾 FTSS – Tax/Benefits (30%)</t>
  </si>
  <si>
    <t xml:space="preserve">  🐾 PT Animal Care Staff</t>
  </si>
  <si>
    <t xml:space="preserve">  🐾 PT Animal Care – Tax (10%)</t>
  </si>
  <si>
    <t xml:space="preserve">  SUBTOTAL – Compensation</t>
  </si>
  <si>
    <t xml:space="preserve">  🐾 Blankets</t>
  </si>
  <si>
    <t xml:space="preserve">  🐾 Paper Collars</t>
  </si>
  <si>
    <t xml:space="preserve">  🐶 Dog Collars</t>
  </si>
  <si>
    <t>🐶 Dog</t>
  </si>
  <si>
    <t xml:space="preserve">  🐶 Muzzles</t>
  </si>
  <si>
    <t xml:space="preserve">  🐶 Slip Leads</t>
  </si>
  <si>
    <t xml:space="preserve">  🐱 Litter</t>
  </si>
  <si>
    <t>🐱 Cat</t>
  </si>
  <si>
    <t xml:space="preserve">  🐱 Cat Collars </t>
  </si>
  <si>
    <t xml:space="preserve">  🐱 Litter Box</t>
  </si>
  <si>
    <t xml:space="preserve">  🐾 Water Bowls</t>
  </si>
  <si>
    <t xml:space="preserve">  🐾 Food Bowls</t>
  </si>
  <si>
    <t xml:space="preserve">  🐾 Measuring Scoops</t>
  </si>
  <si>
    <t xml:space="preserve">  🐾 Measuring Pitcher</t>
  </si>
  <si>
    <t xml:space="preserve">  🐾 Food Storage Bins</t>
  </si>
  <si>
    <t xml:space="preserve">  🐾 Kuranda Beds</t>
  </si>
  <si>
    <t xml:space="preserve">  🐱 Cat Carriers</t>
  </si>
  <si>
    <t xml:space="preserve">  SUBTOTAL – Animal Care Supplies</t>
  </si>
  <si>
    <t xml:space="preserve">  🐶 Dry Dog Food (Purina 48lb)</t>
  </si>
  <si>
    <t xml:space="preserve">  🐶 Wet Dog Food (38/24 cans)</t>
  </si>
  <si>
    <t xml:space="preserve">  🐱 Dry Cat Food (Purina 13lb)</t>
  </si>
  <si>
    <t xml:space="preserve">  🐱 Wet Cat Food (40/40 cans)</t>
  </si>
  <si>
    <t xml:space="preserve">  🐾 Therapeutic Diet / Rx Food</t>
  </si>
  <si>
    <t xml:space="preserve">  SUBTOTAL – Animal Food – Non-Rx</t>
  </si>
  <si>
    <t xml:space="preserve">  🐾 Gloves (11.99/100)</t>
  </si>
  <si>
    <t xml:space="preserve">  🐾 Disposable Gowns (119/100)</t>
  </si>
  <si>
    <t xml:space="preserve">  🐾 Shoe Covers (8.99/100)</t>
  </si>
  <si>
    <t xml:space="preserve">  🐾 Syringes (36.03/100)</t>
  </si>
  <si>
    <t xml:space="preserve">  🐾 Needles (17.79/100)</t>
  </si>
  <si>
    <t xml:space="preserve">  🐾 Sharps Container</t>
  </si>
  <si>
    <t xml:space="preserve">  🐾 Refrigerator</t>
  </si>
  <si>
    <t xml:space="preserve">  🐾 Thermometer</t>
  </si>
  <si>
    <t xml:space="preserve">  SUBTOTAL – Medical Supplies</t>
  </si>
  <si>
    <t xml:space="preserve">  🐾 BbPi (Bordetella+Parainfluenza)</t>
  </si>
  <si>
    <t xml:space="preserve">  🐾 Rabies Vaccine</t>
  </si>
  <si>
    <t xml:space="preserve">  🐶 DHPP Vaccine</t>
  </si>
  <si>
    <t xml:space="preserve">  🐱 FVRCP Vaccine</t>
  </si>
  <si>
    <t xml:space="preserve">  SUBTOTAL – Vaccines</t>
  </si>
  <si>
    <t xml:space="preserve">  🐶 Heartworm Prevention</t>
  </si>
  <si>
    <t xml:space="preserve">  🐾 Pyrantel (dewormer 42.99/32oz)</t>
  </si>
  <si>
    <t xml:space="preserve">  🐾 Flea/Tick Prevention</t>
  </si>
  <si>
    <t xml:space="preserve">  SUBTOTAL – Medications</t>
  </si>
  <si>
    <t xml:space="preserve">  🐾 Vet Services – Emergency</t>
  </si>
  <si>
    <t xml:space="preserve">  🐾 Vet Services – Spay &amp; Neuter</t>
  </si>
  <si>
    <t xml:space="preserve">  SUBTOTAL – External Vet Services</t>
  </si>
  <si>
    <t xml:space="preserve">  🐾 Pens (18/50)</t>
  </si>
  <si>
    <t xml:space="preserve">  🐾 Markers/Sharpies</t>
  </si>
  <si>
    <t xml:space="preserve">  🐾 Paper (28/2500)</t>
  </si>
  <si>
    <t xml:space="preserve">  🐾 Copy Machine/Printer</t>
  </si>
  <si>
    <t xml:space="preserve">  🐾 Trash Can – Office</t>
  </si>
  <si>
    <t xml:space="preserve">  🐾 Laptop</t>
  </si>
  <si>
    <t xml:space="preserve">  🐾 Office Phone</t>
  </si>
  <si>
    <t xml:space="preserve">  🐾 Two-Way Radios</t>
  </si>
  <si>
    <t xml:space="preserve">  🐾 Digital Camera</t>
  </si>
  <si>
    <t xml:space="preserve">  🐾 Filing Cabinet</t>
  </si>
  <si>
    <t xml:space="preserve">  SUBTOTAL – Office Supplies</t>
  </si>
  <si>
    <t xml:space="preserve">  🐾 Rescue Disinfectant (52.99/gal)</t>
  </si>
  <si>
    <t>Cost×Days</t>
  </si>
  <si>
    <t xml:space="preserve">  🐾 Dawn Dish Soap (15.14/70oz)</t>
  </si>
  <si>
    <t xml:space="preserve">  🐾 Scoop/Shovel</t>
  </si>
  <si>
    <t xml:space="preserve">  🐾 Scrub Brush (10.50/ea)</t>
  </si>
  <si>
    <t xml:space="preserve">  🐾 Squeegee (28.99/ea)</t>
  </si>
  <si>
    <t xml:space="preserve">  🐾 Mop Bucket &amp; Mop</t>
  </si>
  <si>
    <t xml:space="preserve">  🐾 Mop Head Replacements</t>
  </si>
  <si>
    <t xml:space="preserve">  🐾 Dust Pan &amp; Broom</t>
  </si>
  <si>
    <t xml:space="preserve">  🐾 Spray Bottle (11.61/3pk)</t>
  </si>
  <si>
    <t xml:space="preserve">  🐾 Garbage Bags (14.99/30)</t>
  </si>
  <si>
    <t xml:space="preserve">  🐾 Laundry Detergent (64.98/5gal)</t>
  </si>
  <si>
    <t xml:space="preserve">  🐾 Washer &amp; Dryer</t>
  </si>
  <si>
    <t xml:space="preserve">  🐾 Industrial Trash Can</t>
  </si>
  <si>
    <t xml:space="preserve">  🐾 Water Hose</t>
  </si>
  <si>
    <t xml:space="preserve">  🐾 Hose Nozzle</t>
  </si>
  <si>
    <t xml:space="preserve">  SUBTOTAL – Cleaning / Janitorial</t>
  </si>
  <si>
    <t xml:space="preserve">  🐾 First Aid Kit</t>
  </si>
  <si>
    <t xml:space="preserve">  🐾 Control Pole</t>
  </si>
  <si>
    <t xml:space="preserve">  🐱 Cat Bite Gloves</t>
  </si>
  <si>
    <t xml:space="preserve">  🐱 Cat Net</t>
  </si>
  <si>
    <t xml:space="preserve">  🐾 Fire Extinguisher</t>
  </si>
  <si>
    <t xml:space="preserve">  🐾 Microchip Scanner</t>
  </si>
  <si>
    <t xml:space="preserve">  🐾 Uniforms</t>
  </si>
  <si>
    <t xml:space="preserve">  SUBTOTAL – Safety &amp; Security</t>
  </si>
  <si>
    <t xml:space="preserve">  🐾 Shade Awnings</t>
  </si>
  <si>
    <t xml:space="preserve">  SUBTOTAL – Facilities / Grounds</t>
  </si>
  <si>
    <t xml:space="preserve">  🐾 Utilities (electric/water/etc)</t>
  </si>
  <si>
    <t xml:space="preserve">  🐾 Telephone</t>
  </si>
  <si>
    <t xml:space="preserve">  🐾 WiFi / Internet</t>
  </si>
  <si>
    <t xml:space="preserve">  SUBTOTAL – Utilities</t>
  </si>
  <si>
    <t xml:space="preserve">  🐾 Vehicle – Fuel</t>
  </si>
  <si>
    <t xml:space="preserve">  🐾 Vehicle – Insurance</t>
  </si>
  <si>
    <t xml:space="preserve">  🐾 Vehicle – Registration</t>
  </si>
  <si>
    <t xml:space="preserve">  🐾 Animal Transport Vehicle</t>
  </si>
  <si>
    <t xml:space="preserve">  SUBTOTAL – Vehicle</t>
  </si>
  <si>
    <t xml:space="preserve">  🐾 Laboratory / Outside Service</t>
  </si>
  <si>
    <t xml:space="preserve">  🐾 Employee Training &amp; Education</t>
  </si>
  <si>
    <t xml:space="preserve">  🐾 Bank Charges</t>
  </si>
  <si>
    <t xml:space="preserve">  🐾 Liability &amp; Fire Insurance</t>
  </si>
  <si>
    <t xml:space="preserve">  🐾 Dues &amp; Subscriptions</t>
  </si>
  <si>
    <t xml:space="preserve">  🐾 Miscellaneous</t>
  </si>
  <si>
    <t xml:space="preserve">  SUBTOTAL – Other</t>
  </si>
  <si>
    <t xml:space="preserve">  ★  TOTAL ANNUAL BUDGET ALL</t>
  </si>
  <si>
    <t xml:space="preserve">  Cost Per Animal (all animals)</t>
  </si>
  <si>
    <t>BEST FRIENDS ANIMAL SOCIETY  |  Cat Intake — Seasonal Bell Curve</t>
  </si>
  <si>
    <t>bestfriends.org  |  Pre-filled with a 600-cat annual template on the seasonal bell curve. Edit the blue row to use your own monthly numbers.</t>
  </si>
  <si>
    <t xml:space="preserve">  SECTION A – SEASONAL BELL CURVE  (3-year intake pattern)</t>
  </si>
  <si>
    <t>Source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</si>
  <si>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</si>
  <si>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</si>
  <si>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</si>
  <si>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</si>
  <si>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</si>
  <si>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</si>
  <si>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</si>
  <si>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</si>
  <si>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</si>
  <si>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</si>
  <si>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</si>
  <si>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</si>
  <si>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</t>
  </si>
  <si>
    <t>*Bell Curve % National Ave.</t>
  </si>
  <si>
    <t xml:space="preserve">  SECTION B – YOUR PLAN  (blue = edit here)</t>
  </si>
  <si>
    <t>Your Intake</t>
  </si>
  <si>
    <t>% of Year "Your Intake"</t>
  </si>
  <si>
    <t>HOW IT WORKS:  Row 9 (blue) is the only row to edit. It is pre-filled with a 600-cat annual template spread along the seasonal bell curve in Row 6.</t>
  </si>
  <si>
    <t>Enter your own real monthly cat intake numbers if you have them. Row 10 turns whatever is in Row 9 into each month’s share of the year.</t>
  </si>
  <si>
    <t>The 📅 Monthly View multiplies every cat line item (food, litter, collars, FVRCP) by that share, so kitten-season months carry more cost than winter months.</t>
  </si>
  <si>
    <t>Dog and shared costs stay spread evenly, and the annual budget total never changes.</t>
  </si>
  <si>
    <t>*National average based on Best Friends Animal Society National Data Set with 2,088 shelters, 1,206 of which are municipal shelters.</t>
  </si>
  <si>
    <t>Reference: monthly share cells are C10:N10 — used by the Monthly View tab.</t>
  </si>
  <si>
    <t>BEST FRIENDS ANIMAL SOCIETY  |  Monthly Budget Breakdown</t>
  </si>
  <si>
    <t>Cat food, litter, collars &amp; FVRCP follow the seasonal curve on the 🐱 Cat Intake tab. Dog costs spread evenly.</t>
  </si>
  <si>
    <t>Annual Total</t>
  </si>
  <si>
    <t xml:space="preserve">🐾 FT Shelter Staff </t>
  </si>
  <si>
    <t>🐾 FTAC1 – Tax/Benefits (30%)</t>
  </si>
  <si>
    <t xml:space="preserve">  🐾 Dog Collars</t>
  </si>
  <si>
    <t xml:space="preserve">  🐱 Cat Collars</t>
  </si>
  <si>
    <t xml:space="preserve">  ANIMAL FOOD</t>
  </si>
  <si>
    <t xml:space="preserve">  EXTERNAL VET</t>
  </si>
  <si>
    <t xml:space="preserve">  CLEANING/JANITORIAL</t>
  </si>
  <si>
    <t xml:space="preserve">  ★  MONTHLY TOTAL ALL COSTS</t>
  </si>
  <si>
    <t>BEST FRIENDS ANIMAL SOCIETY  |  Scenario Comparison</t>
  </si>
  <si>
    <t>FULL BUDGET SUMMARY - TAB 2</t>
  </si>
  <si>
    <t>Scenario</t>
  </si>
  <si>
    <t>Total Budget</t>
  </si>
  <si>
    <t>Cost / Animal</t>
  </si>
  <si>
    <t>Baseline (750/750)</t>
  </si>
  <si>
    <t>Intake –25% (562/562)</t>
  </si>
  <si>
    <t>Intake –10% (675/675)</t>
  </si>
  <si>
    <t>Intake +10% (825/825)</t>
  </si>
  <si>
    <t>Intake +25% (938/938)</t>
  </si>
  <si>
    <t>Large Shelter (1200/1200)</t>
  </si>
  <si>
    <t xml:space="preserve">    Budget totals scale proportionally from your Inputs tab.</t>
  </si>
  <si>
    <t>MONTHLY OPERATING BUDGET ONLY - TAB 3</t>
  </si>
  <si>
    <t>bestfriends.org  |  These scenarios are calculated independently from your Inputs tab, for comparison only.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</si>
</sst>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[$$-409]* #,##0.00_);_([$$-409]* \(#,##0.00\);_([$$-409]* \-??_);_(@_)"/>
    <numFmt numFmtId="165" formatCode="\$#,##0.00;&quot;($&quot;#,##0.00\);\-"/>
    <numFmt numFmtId="166" formatCode="\$#,##0;&quot;($&quot;#,##0\);\-"/>
    <numFmt numFmtId="167" formatCode="0.0%"/>
  </numFmts>
  <fonts count="27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9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FFFFFF"/>
      <name val="Arial"/>
      <family val="2"/>
      <charset val="1"/>
    </font>
    <font>
      <b/>
      <sz val="10"/>
      <name val="Arial"/>
      <family val="2"/>
    </font>
    <font>
      <sz val="10"/>
      <color rgb="FF666666"/>
      <name val="Arial"/>
      <family val="2"/>
    </font>
    <font>
      <sz val="10"/>
      <color rgb="FF0000FF"/>
      <name val="Arial"/>
      <family val="2"/>
    </font>
    <font>
      <sz val="8"/>
      <color rgb="FFCCCCCC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i/>
      <sz val="8"/>
      <color rgb="FF666666"/>
      <name val="Arial"/>
      <family val="2"/>
    </font>
    <font>
      <i/>
      <sz val="9"/>
      <color rgb="FF444444"/>
      <name val="Arial"/>
      <family val="2"/>
    </font>
    <font>
      <b/>
      <sz val="9"/>
      <color rgb="FF1F3864"/>
      <name val="Arial"/>
      <family val="2"/>
    </font>
    <font>
      <b/>
      <sz val="14"/>
      <color rgb="FF1F3864"/>
      <name val="Arial"/>
      <family val="2"/>
    </font>
    <font>
      <b/>
      <sz val="10"/>
      <color rgb="FF000000"/>
      <name val="Arial"/>
      <family val="2"/>
    </font>
    <font>
      <b/>
      <sz val="10"/>
      <color rgb="FF1F3864"/>
      <name val="Arial"/>
      <family val="2"/>
    </font>
    <font>
      <sz val="10"/>
      <color rgb="FF000000"/>
      <name val="Arial"/>
      <family val="2"/>
    </font>
    <font>
      <b/>
      <sz val="13"/>
      <color rgb="FFFFFFFF"/>
      <name val="Arial"/>
      <family val="2"/>
    </font>
    <font>
      <b/>
      <sz val="11"/>
      <color rgb="FFFFFFFF"/>
      <name val="Arial"/>
      <family val="2"/>
    </font>
    <font>
      <sz val="9"/>
      <color rgb="FF666666"/>
      <name val="Arial"/>
      <family val="2"/>
    </font>
    <font>
      <b/>
      <sz val="10"/>
      <color rgb="FF1A1A1A"/>
      <name val="Arial"/>
      <family val="2"/>
    </font>
    <font>
      <b/>
      <sz val="9"/>
      <color rgb="FF666666"/>
      <name val="Arial"/>
      <family val="2"/>
    </font>
    <font>
      <sz val="8"/>
      <color rgb="FFAAAAAA"/>
      <name val="Arial"/>
      <family val="2"/>
    </font>
    <font>
      <sz val="9"/>
      <color rgb="FF666666"/>
      <name val="Arial"/>
      <family val="2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1A1A1A"/>
        <bgColor rgb="FF003300"/>
      </patternFill>
    </fill>
    <fill>
      <patternFill patternType="solid">
        <fgColor rgb="FFF58220"/>
        <bgColor rgb="FFEC720B"/>
      </patternFill>
    </fill>
    <fill>
      <patternFill patternType="solid">
        <fgColor rgb="FFFFFDE7"/>
        <bgColor rgb="FFFFF8F0"/>
      </patternFill>
    </fill>
    <fill>
      <patternFill patternType="solid">
        <fgColor rgb="FFFFF8F0"/>
        <bgColor rgb="FFFFFDE7"/>
      </patternFill>
    </fill>
    <fill>
      <patternFill patternType="solid">
        <fgColor rgb="FFFEF3E2"/>
        <bgColor rgb="FFFFF8F0"/>
      </patternFill>
    </fill>
    <fill>
      <patternFill patternType="solid">
        <fgColor rgb="FFFCE4D6"/>
        <bgColor rgb="FFFDE8D0"/>
      </patternFill>
    </fill>
    <fill>
      <patternFill patternType="solid">
        <fgColor rgb="FFFDE8D0"/>
        <bgColor rgb="FFFCE4D6"/>
      </patternFill>
    </fill>
    <fill>
      <patternFill patternType="solid">
        <fgColor rgb="FFEEF6FF"/>
        <bgColor rgb="FFF5F0EB"/>
      </patternFill>
    </fill>
    <fill>
      <patternFill patternType="solid">
        <fgColor rgb="FFF5F0EB"/>
        <bgColor rgb="FFFEF3E2"/>
      </patternFill>
    </fill>
    <fill>
      <patternFill patternType="solid">
        <fgColor rgb="FFEC720B"/>
        <bgColor rgb="FFF58220"/>
      </patternFill>
    </fill>
    <fill>
      <patternFill patternType="solid">
        <fgColor rgb="FFFFFFFF"/>
        <bgColor rgb="FFFFF8F0"/>
      </patternFill>
    </fill>
  </fills>
  <borders count="7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AAAAAA"/>
      </left>
      <right style="thin">
        <color rgb="FFAAAAAA"/>
      </right>
      <top/>
      <bottom/>
      <diagonal/>
    </border>
    <border>
      <left/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">
    <xf numFmtId="0" fontId="0" fillId="0" borderId="0"/>
    <xf numFmtId="9" fontId="25" fillId="0" borderId="0" applyFont="0" applyFill="0" applyBorder="0" applyAlignment="0" applyProtection="0"/>
  </cellStyleXfs>
  <cellXfs count="106">
    <xf numFmtId="0" fontId="0" fillId="0" borderId="0" xfId="0"/>
    <xf numFmtId="0" fontId="3" fillId="3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3" fontId="8" fillId="0" borderId="0" xfId="0" applyNumberFormat="1" applyFont="1"/>
    <xf numFmtId="0" fontId="9" fillId="5" borderId="1" xfId="0" applyFont="1" applyFill="1" applyBorder="1" applyAlignment="1">
      <alignment horizontal="left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0" fillId="5" borderId="0" xfId="0" applyFill="1"/>
    <xf numFmtId="0" fontId="11" fillId="5" borderId="1" xfId="0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right" vertical="center"/>
    </xf>
    <xf numFmtId="0" fontId="11" fillId="5" borderId="1" xfId="0" applyFont="1" applyFill="1" applyBorder="1"/>
    <xf numFmtId="0" fontId="9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/>
    </xf>
    <xf numFmtId="0" fontId="0" fillId="6" borderId="0" xfId="0" applyFill="1"/>
    <xf numFmtId="0" fontId="11" fillId="6" borderId="1" xfId="0" applyFont="1" applyFill="1" applyBorder="1"/>
    <xf numFmtId="0" fontId="0" fillId="7" borderId="0" xfId="0" applyFill="1"/>
    <xf numFmtId="0" fontId="9" fillId="7" borderId="1" xfId="0" applyFont="1" applyFill="1" applyBorder="1" applyAlignment="1">
      <alignment horizontal="left" vertical="center"/>
    </xf>
    <xf numFmtId="0" fontId="11" fillId="7" borderId="1" xfId="0" applyFont="1" applyFill="1" applyBorder="1" applyAlignment="1">
      <alignment horizontal="center" vertical="center"/>
    </xf>
    <xf numFmtId="0" fontId="11" fillId="7" borderId="1" xfId="0" applyFont="1" applyFill="1" applyBorder="1"/>
    <xf numFmtId="165" fontId="11" fillId="5" borderId="1" xfId="0" applyNumberFormat="1" applyFont="1" applyFill="1" applyBorder="1" applyAlignment="1">
      <alignment horizontal="right" vertical="center"/>
    </xf>
    <xf numFmtId="0" fontId="13" fillId="7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3" fontId="14" fillId="7" borderId="1" xfId="0" applyNumberFormat="1" applyFont="1" applyFill="1" applyBorder="1" applyAlignment="1">
      <alignment horizontal="center" vertical="center"/>
    </xf>
    <xf numFmtId="3" fontId="14" fillId="6" borderId="1" xfId="0" applyNumberFormat="1" applyFont="1" applyFill="1" applyBorder="1" applyAlignment="1">
      <alignment horizontal="center" vertical="center"/>
    </xf>
    <xf numFmtId="3" fontId="14" fillId="5" borderId="1" xfId="0" applyNumberFormat="1" applyFont="1" applyFill="1" applyBorder="1" applyAlignment="1">
      <alignment horizontal="center" vertical="center"/>
    </xf>
    <xf numFmtId="3" fontId="14" fillId="8" borderId="1" xfId="0" applyNumberFormat="1" applyFont="1" applyFill="1" applyBorder="1" applyAlignment="1">
      <alignment horizontal="center" vertical="center"/>
    </xf>
    <xf numFmtId="166" fontId="14" fillId="8" borderId="1" xfId="0" applyNumberFormat="1" applyFont="1" applyFill="1" applyBorder="1" applyAlignment="1">
      <alignment horizontal="center" vertical="center"/>
    </xf>
    <xf numFmtId="165" fontId="14" fillId="8" borderId="1" xfId="0" applyNumberFormat="1" applyFont="1" applyFill="1" applyBorder="1" applyAlignment="1">
      <alignment horizontal="center" vertical="center"/>
    </xf>
    <xf numFmtId="165" fontId="15" fillId="9" borderId="1" xfId="0" applyNumberFormat="1" applyFont="1" applyFill="1" applyBorder="1" applyAlignment="1">
      <alignment horizontal="right" vertical="center"/>
    </xf>
    <xf numFmtId="165" fontId="7" fillId="5" borderId="1" xfId="0" applyNumberFormat="1" applyFont="1" applyFill="1" applyBorder="1" applyAlignment="1">
      <alignment horizontal="right" vertical="center"/>
    </xf>
    <xf numFmtId="165" fontId="9" fillId="5" borderId="1" xfId="0" applyNumberFormat="1" applyFont="1" applyFill="1" applyBorder="1" applyAlignment="1">
      <alignment horizontal="right" vertical="center"/>
    </xf>
    <xf numFmtId="0" fontId="16" fillId="10" borderId="1" xfId="0" applyFont="1" applyFill="1" applyBorder="1"/>
    <xf numFmtId="0" fontId="0" fillId="10" borderId="1" xfId="0" applyFill="1" applyBorder="1"/>
    <xf numFmtId="166" fontId="5" fillId="10" borderId="1" xfId="0" applyNumberFormat="1" applyFont="1" applyFill="1" applyBorder="1" applyAlignment="1">
      <alignment horizontal="right" vertical="center"/>
    </xf>
    <xf numFmtId="165" fontId="7" fillId="6" borderId="1" xfId="0" applyNumberFormat="1" applyFont="1" applyFill="1" applyBorder="1" applyAlignment="1">
      <alignment horizontal="right" vertical="center"/>
    </xf>
    <xf numFmtId="165" fontId="9" fillId="6" borderId="1" xfId="0" applyNumberFormat="1" applyFont="1" applyFill="1" applyBorder="1" applyAlignment="1">
      <alignment horizontal="right" vertical="center"/>
    </xf>
    <xf numFmtId="165" fontId="7" fillId="7" borderId="1" xfId="0" applyNumberFormat="1" applyFont="1" applyFill="1" applyBorder="1" applyAlignment="1">
      <alignment horizontal="right" vertical="center"/>
    </xf>
    <xf numFmtId="165" fontId="9" fillId="7" borderId="1" xfId="0" applyNumberFormat="1" applyFont="1" applyFill="1" applyBorder="1" applyAlignment="1">
      <alignment horizontal="right" vertical="center"/>
    </xf>
    <xf numFmtId="165" fontId="17" fillId="9" borderId="1" xfId="0" applyNumberFormat="1" applyFont="1" applyFill="1" applyBorder="1" applyAlignment="1">
      <alignment horizontal="right" vertical="center"/>
    </xf>
    <xf numFmtId="165" fontId="5" fillId="5" borderId="1" xfId="0" applyNumberFormat="1" applyFont="1" applyFill="1" applyBorder="1" applyAlignment="1">
      <alignment horizontal="right" vertical="center"/>
    </xf>
    <xf numFmtId="165" fontId="5" fillId="6" borderId="1" xfId="0" applyNumberFormat="1" applyFont="1" applyFill="1" applyBorder="1" applyAlignment="1">
      <alignment horizontal="right" vertical="center"/>
    </xf>
    <xf numFmtId="165" fontId="5" fillId="7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9" fillId="3" borderId="1" xfId="0" applyFont="1" applyFill="1" applyBorder="1"/>
    <xf numFmtId="165" fontId="5" fillId="8" borderId="1" xfId="0" applyNumberFormat="1" applyFont="1" applyFill="1" applyBorder="1" applyAlignment="1">
      <alignment horizontal="right" vertical="center"/>
    </xf>
    <xf numFmtId="0" fontId="0" fillId="8" borderId="1" xfId="0" applyFill="1" applyBorder="1"/>
    <xf numFmtId="0" fontId="3" fillId="11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166" fontId="2" fillId="3" borderId="0" xfId="0" applyNumberFormat="1" applyFont="1" applyFill="1" applyAlignment="1">
      <alignment vertical="center"/>
    </xf>
    <xf numFmtId="165" fontId="17" fillId="5" borderId="1" xfId="0" applyNumberFormat="1" applyFont="1" applyFill="1" applyBorder="1" applyAlignment="1">
      <alignment horizontal="right" vertical="center"/>
    </xf>
    <xf numFmtId="166" fontId="5" fillId="5" borderId="1" xfId="0" applyNumberFormat="1" applyFont="1" applyFill="1" applyBorder="1" applyAlignment="1">
      <alignment horizontal="right" vertical="center"/>
    </xf>
    <xf numFmtId="165" fontId="17" fillId="6" borderId="1" xfId="0" applyNumberFormat="1" applyFont="1" applyFill="1" applyBorder="1" applyAlignment="1">
      <alignment horizontal="right" vertical="center"/>
    </xf>
    <xf numFmtId="166" fontId="5" fillId="6" borderId="1" xfId="0" applyNumberFormat="1" applyFont="1" applyFill="1" applyBorder="1" applyAlignment="1">
      <alignment horizontal="right" vertical="center"/>
    </xf>
    <xf numFmtId="165" fontId="17" fillId="7" borderId="1" xfId="0" applyNumberFormat="1" applyFont="1" applyFill="1" applyBorder="1" applyAlignment="1">
      <alignment horizontal="right" vertical="center"/>
    </xf>
    <xf numFmtId="166" fontId="5" fillId="7" borderId="1" xfId="0" applyNumberFormat="1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left" vertical="center"/>
    </xf>
    <xf numFmtId="166" fontId="19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/>
    </xf>
    <xf numFmtId="0" fontId="21" fillId="0" borderId="0" xfId="0" applyFont="1" applyAlignment="1">
      <alignment indent="1"/>
    </xf>
    <xf numFmtId="167" fontId="21" fillId="0" borderId="0" xfId="0" applyNumberFormat="1" applyFont="1" applyAlignment="1">
      <alignment horizontal="center"/>
    </xf>
    <xf numFmtId="0" fontId="6" fillId="0" borderId="0" xfId="0" applyFont="1" applyAlignment="1">
      <alignment indent="1"/>
    </xf>
    <xf numFmtId="3" fontId="6" fillId="0" borderId="0" xfId="0" applyNumberFormat="1" applyFont="1" applyAlignment="1">
      <alignment horizontal="center"/>
    </xf>
    <xf numFmtId="3" fontId="7" fillId="4" borderId="3" xfId="0" applyNumberFormat="1" applyFont="1" applyFill="1" applyBorder="1" applyAlignment="1">
      <alignment horizontal="center"/>
    </xf>
    <xf numFmtId="3" fontId="21" fillId="0" borderId="0" xfId="0" applyNumberFormat="1" applyFont="1" applyAlignment="1">
      <alignment horizontal="center"/>
    </xf>
    <xf numFmtId="0" fontId="22" fillId="0" borderId="0" xfId="0" applyFont="1" applyAlignment="1">
      <alignment indent="1"/>
    </xf>
    <xf numFmtId="167" fontId="22" fillId="0" borderId="0" xfId="0" applyNumberFormat="1" applyFont="1" applyAlignment="1">
      <alignment horizontal="center"/>
    </xf>
    <xf numFmtId="0" fontId="23" fillId="0" borderId="0" xfId="0" applyFont="1"/>
    <xf numFmtId="0" fontId="5" fillId="12" borderId="1" xfId="0" applyFont="1" applyFill="1" applyBorder="1" applyAlignment="1">
      <alignment horizontal="left" vertical="center"/>
    </xf>
    <xf numFmtId="3" fontId="17" fillId="12" borderId="1" xfId="0" applyNumberFormat="1" applyFont="1" applyFill="1" applyBorder="1" applyAlignment="1">
      <alignment horizontal="center" vertical="center"/>
    </xf>
    <xf numFmtId="3" fontId="17" fillId="9" borderId="1" xfId="0" applyNumberFormat="1" applyFon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right" vertical="center"/>
    </xf>
    <xf numFmtId="166" fontId="5" fillId="9" borderId="1" xfId="0" applyNumberFormat="1" applyFont="1" applyFill="1" applyBorder="1" applyAlignment="1">
      <alignment horizontal="right" vertical="center"/>
    </xf>
    <xf numFmtId="0" fontId="11" fillId="0" borderId="0" xfId="0" applyFont="1"/>
    <xf numFmtId="0" fontId="3" fillId="3" borderId="0" xfId="0" applyFont="1" applyFill="1" applyAlignment="1">
      <alignment horizontal="center" vertical="center"/>
    </xf>
    <xf numFmtId="0" fontId="5" fillId="12" borderId="4" xfId="0" applyFont="1" applyFill="1" applyBorder="1" applyAlignment="1">
      <alignment horizontal="left" vertical="center"/>
    </xf>
    <xf numFmtId="3" fontId="7" fillId="4" borderId="3" xfId="0" quotePrefix="1" applyNumberFormat="1" applyFont="1" applyFill="1" applyBorder="1" applyAlignment="1">
      <alignment horizontal="center"/>
    </xf>
    <xf numFmtId="167" fontId="0" fillId="0" borderId="0" xfId="1" applyNumberFormat="1" applyFont="1" applyAlignment="1">
      <alignment horizontal="center"/>
    </xf>
    <xf numFmtId="9" fontId="20" fillId="0" borderId="3" xfId="0" applyNumberFormat="1" applyFont="1" applyBorder="1" applyAlignment="1">
      <alignment horizontal="center"/>
    </xf>
    <xf numFmtId="1" fontId="0" fillId="0" borderId="0" xfId="1" applyNumberFormat="1" applyFont="1"/>
    <xf numFmtId="0" fontId="2" fillId="3" borderId="0" xfId="0" applyFont="1" applyFill="1" applyAlignment="1">
      <alignment horizontal="center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18" fillId="3" borderId="2" xfId="0" applyFont="1" applyFill="1" applyBorder="1" applyAlignment="1">
      <alignment horizontal="left" vertical="center"/>
    </xf>
    <xf numFmtId="0" fontId="23" fillId="0" borderId="0" xfId="0" applyFont="1"/>
    <xf numFmtId="0" fontId="1" fillId="2" borderId="0" xfId="0" applyFont="1" applyFill="1" applyAlignment="1">
      <alignment vertical="center" indent="1"/>
    </xf>
    <xf numFmtId="0" fontId="3" fillId="3" borderId="0" xfId="0" applyFont="1" applyFill="1" applyAlignment="1">
      <alignment indent="1"/>
    </xf>
    <xf numFmtId="0" fontId="20" fillId="0" borderId="0" xfId="0" applyFont="1"/>
    <xf numFmtId="0" fontId="3" fillId="3" borderId="0" xfId="0" applyFont="1" applyFill="1"/>
    <xf numFmtId="0" fontId="20" fillId="0" borderId="0" xfId="0" applyFont="1" applyAlignment="1">
      <alignment indent="1"/>
    </xf>
    <xf numFmtId="0" fontId="24" fillId="0" borderId="0" xfId="0" applyFont="1"/>
    <xf numFmtId="0" fontId="22" fillId="0" borderId="0" xfId="0" applyFont="1"/>
    <xf numFmtId="0" fontId="26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DE7"/>
      <rgbColor rgb="FFEEF6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0EB"/>
      <rgbColor rgb="FFFEF3E2"/>
      <rgbColor rgb="FFFDE8D0"/>
      <rgbColor rgb="FFFFF8F0"/>
      <rgbColor rgb="FFFF99CC"/>
      <rgbColor rgb="FFB57BBA"/>
      <rgbColor rgb="FFFCE4D6"/>
      <rgbColor rgb="FF3366FF"/>
      <rgbColor rgb="FF33CCCC"/>
      <rgbColor rgb="FF99CC00"/>
      <rgbColor rgb="FFFFCC00"/>
      <rgbColor rgb="FFF58220"/>
      <rgbColor rgb="FFEC720B"/>
      <rgbColor rgb="FF666666"/>
      <rgbColor rgb="FFAAAAAA"/>
      <rgbColor rgb="FF1F3864"/>
      <rgbColor rgb="FF339966"/>
      <rgbColor rgb="FF003300"/>
      <rgbColor rgb="FF1A1A1A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58220"/>
  </sheetPr>
  <dimension ref="B1:I157"/>
  <sheetViews>
    <sheetView showGridLines="0" tabSelected="1" zoomScaleNormal="100" workbookViewId="0">
      <selection activeCell="N7" sqref="N7"/>
    </sheetView>
  </sheetViews>
  <sheetFormatPr baseColWidth="10" defaultColWidth="8.5" defaultRowHeight="15" x14ac:dyDescent="0.2"/>
  <cols>
    <col min="1" max="1" width="2" customWidth="1"/>
    <col min="2" max="2" width="30.83203125" customWidth="1"/>
    <col min="3" max="3" width="29.1640625" customWidth="1"/>
    <col min="4" max="6" width="16" customWidth="1"/>
    <col min="7" max="7" width="5" customWidth="1"/>
    <col min="8" max="8" width="38" customWidth="1"/>
    <col min="9" max="9" width="16" customWidth="1"/>
    <col min="10" max="10" width="5" customWidth="1"/>
  </cols>
  <sheetData>
    <row r="1" spans="2:9" ht="39.75" customHeight="1" x14ac:dyDescent="0.2">
      <c r="B1" s="89" t="s">
        <v>0</v>
      </c>
      <c r="C1" s="88"/>
      <c r="D1" s="88"/>
      <c r="E1" s="88"/>
      <c r="F1" s="88"/>
      <c r="G1" s="88"/>
      <c r="H1" s="88"/>
      <c r="I1" s="88"/>
    </row>
    <row r="2" spans="2:9" ht="19.5" customHeight="1" x14ac:dyDescent="0.2">
      <c r="B2" s="87" t="s">
        <v>1</v>
      </c>
      <c r="C2" s="88"/>
      <c r="D2" s="88"/>
      <c r="E2" s="88"/>
      <c r="F2" s="88"/>
      <c r="G2" s="88"/>
      <c r="H2" s="88"/>
      <c r="I2" s="88"/>
    </row>
    <row r="3" spans="2:9" ht="27.75" customHeight="1" x14ac:dyDescent="0.2">
      <c r="B3" s="91" t="s">
        <v>2</v>
      </c>
      <c r="C3" s="88"/>
      <c r="D3" s="88"/>
      <c r="E3" s="88"/>
    </row>
    <row r="4" spans="2:9" ht="19.5" customHeight="1" x14ac:dyDescent="0.2">
      <c r="B4" s="2" t="s">
        <v>3</v>
      </c>
      <c r="C4" s="3" t="s">
        <v>4</v>
      </c>
      <c r="D4" s="2" t="s">
        <v>5</v>
      </c>
      <c r="E4" s="2" t="s">
        <v>6</v>
      </c>
    </row>
    <row r="5" spans="2:9" ht="19.5" customHeight="1" x14ac:dyDescent="0.2">
      <c r="B5" s="90" t="s">
        <v>7</v>
      </c>
      <c r="C5" s="88"/>
      <c r="D5" s="88"/>
      <c r="E5" s="88"/>
      <c r="F5" s="88"/>
      <c r="G5" s="88"/>
      <c r="H5" s="88"/>
    </row>
    <row r="6" spans="2:9" ht="19.5" customHeight="1" x14ac:dyDescent="0.2">
      <c r="B6" s="4" t="s">
        <v>8</v>
      </c>
      <c r="C6" s="5">
        <v>700</v>
      </c>
      <c r="D6" s="6">
        <v>600</v>
      </c>
      <c r="H6" s="7"/>
      <c r="I6" s="7"/>
    </row>
    <row r="7" spans="2:9" ht="19.5" customHeight="1" x14ac:dyDescent="0.2">
      <c r="B7" s="4" t="s">
        <v>9</v>
      </c>
      <c r="C7" s="5">
        <v>800</v>
      </c>
      <c r="D7" s="6">
        <v>900</v>
      </c>
      <c r="H7" s="7"/>
      <c r="I7" s="7"/>
    </row>
    <row r="8" spans="2:9" ht="19.5" customHeight="1" x14ac:dyDescent="0.2">
      <c r="B8" s="4" t="s">
        <v>10</v>
      </c>
      <c r="C8" s="5">
        <f>C6+C7</f>
        <v>1500</v>
      </c>
      <c r="D8" s="6">
        <f>D6+D7</f>
        <v>1500</v>
      </c>
      <c r="H8" s="7"/>
      <c r="I8" s="7"/>
    </row>
    <row r="9" spans="2:9" ht="19.5" customHeight="1" x14ac:dyDescent="0.2">
      <c r="B9" s="2" t="s">
        <v>3</v>
      </c>
      <c r="C9" s="3" t="s">
        <v>11</v>
      </c>
      <c r="D9" s="2" t="s">
        <v>12</v>
      </c>
      <c r="E9" s="2" t="s">
        <v>13</v>
      </c>
      <c r="F9" s="2" t="s">
        <v>14</v>
      </c>
      <c r="H9" s="2" t="s">
        <v>15</v>
      </c>
      <c r="I9" s="7"/>
    </row>
    <row r="10" spans="2:9" ht="18" customHeight="1" x14ac:dyDescent="0.2">
      <c r="B10" s="90" t="s">
        <v>16</v>
      </c>
      <c r="C10" s="88"/>
      <c r="D10" s="88"/>
      <c r="E10" s="88"/>
      <c r="F10" s="88"/>
      <c r="G10" s="88"/>
      <c r="H10" s="88"/>
    </row>
    <row r="11" spans="2:9" ht="19.5" customHeight="1" x14ac:dyDescent="0.2">
      <c r="B11" s="8" t="s">
        <v>17</v>
      </c>
      <c r="C11" s="6">
        <v>1</v>
      </c>
      <c r="D11" s="9">
        <v>21.57</v>
      </c>
      <c r="E11" s="6">
        <v>40</v>
      </c>
      <c r="F11" s="5">
        <f>E11*52</f>
        <v>2080</v>
      </c>
      <c r="H11" s="10">
        <f>C11*D11*E11*52</f>
        <v>44865.599999999999</v>
      </c>
      <c r="I11" s="7"/>
    </row>
    <row r="12" spans="2:9" ht="19.5" customHeight="1" x14ac:dyDescent="0.2">
      <c r="B12" s="8" t="s">
        <v>18</v>
      </c>
      <c r="C12" s="6">
        <v>1</v>
      </c>
      <c r="D12" s="9">
        <v>21.96</v>
      </c>
      <c r="E12" s="6">
        <v>40</v>
      </c>
      <c r="F12" s="5">
        <f>E12*52</f>
        <v>2080</v>
      </c>
      <c r="H12" s="10">
        <f>C12*D12*E12*52</f>
        <v>45676.800000000003</v>
      </c>
      <c r="I12" s="7"/>
    </row>
    <row r="13" spans="2:9" ht="19.5" customHeight="1" x14ac:dyDescent="0.2">
      <c r="B13" s="8" t="s">
        <v>19</v>
      </c>
      <c r="C13" s="6">
        <v>1</v>
      </c>
      <c r="D13" s="9">
        <v>15.64</v>
      </c>
      <c r="E13" s="6">
        <v>40</v>
      </c>
      <c r="F13" s="5">
        <f>E13*52</f>
        <v>2080</v>
      </c>
      <c r="H13" s="10">
        <f>C13*D13*E13*52</f>
        <v>32531.200000000001</v>
      </c>
      <c r="I13" s="7"/>
    </row>
    <row r="14" spans="2:9" ht="19.5" customHeight="1" x14ac:dyDescent="0.2">
      <c r="B14" s="8" t="s">
        <v>20</v>
      </c>
      <c r="C14" s="6">
        <v>1</v>
      </c>
      <c r="D14" s="9">
        <v>15.64</v>
      </c>
      <c r="E14" s="6">
        <v>24</v>
      </c>
      <c r="F14" s="5">
        <f>E14*52</f>
        <v>1248</v>
      </c>
      <c r="H14" s="10">
        <f>C14*D14*E14*52</f>
        <v>19518.72</v>
      </c>
    </row>
    <row r="15" spans="2:9" ht="7.5" customHeight="1" x14ac:dyDescent="0.2"/>
    <row r="16" spans="2:9" ht="24" customHeight="1" x14ac:dyDescent="0.2">
      <c r="B16" s="91" t="s">
        <v>21</v>
      </c>
      <c r="C16" s="88"/>
      <c r="D16" s="88"/>
      <c r="E16" s="88"/>
      <c r="F16" s="88"/>
      <c r="G16" s="88"/>
      <c r="H16" s="88"/>
      <c r="I16" s="88"/>
    </row>
    <row r="17" spans="2:8" ht="27.75" customHeight="1" x14ac:dyDescent="0.2">
      <c r="B17" s="11" t="s">
        <v>22</v>
      </c>
      <c r="C17" s="11" t="s">
        <v>23</v>
      </c>
      <c r="D17" s="11" t="s">
        <v>24</v>
      </c>
      <c r="E17" s="11" t="s">
        <v>25</v>
      </c>
      <c r="F17" s="11" t="s">
        <v>26</v>
      </c>
      <c r="G17" s="12"/>
      <c r="H17" s="11" t="s">
        <v>27</v>
      </c>
    </row>
    <row r="18" spans="2:8" ht="18" customHeight="1" x14ac:dyDescent="0.2">
      <c r="B18" s="90" t="s">
        <v>28</v>
      </c>
      <c r="C18" s="88"/>
      <c r="D18" s="88"/>
      <c r="E18" s="88"/>
      <c r="F18" s="88"/>
      <c r="G18" s="88"/>
      <c r="H18" s="88"/>
    </row>
    <row r="19" spans="2:8" ht="15" customHeight="1" x14ac:dyDescent="0.2">
      <c r="B19" s="13"/>
      <c r="C19" s="8" t="s">
        <v>29</v>
      </c>
      <c r="D19" s="14" t="s">
        <v>30</v>
      </c>
      <c r="E19" s="15">
        <v>0.16</v>
      </c>
      <c r="F19" s="15"/>
      <c r="H19" s="16"/>
    </row>
    <row r="20" spans="2:8" ht="18.75" customHeight="1" x14ac:dyDescent="0.2">
      <c r="B20" s="13"/>
      <c r="C20" s="8" t="s">
        <v>31</v>
      </c>
      <c r="D20" s="14" t="s">
        <v>30</v>
      </c>
      <c r="E20" s="15">
        <v>5.8000000000000003E-2</v>
      </c>
      <c r="F20" s="15"/>
      <c r="H20" s="16"/>
    </row>
    <row r="21" spans="2:8" ht="18.75" customHeight="1" x14ac:dyDescent="0.2">
      <c r="B21" s="13"/>
      <c r="C21" s="17" t="s">
        <v>32</v>
      </c>
      <c r="D21" s="18" t="s">
        <v>33</v>
      </c>
      <c r="E21" s="15">
        <f>IF(D7&gt;=1,1.22, "")</f>
        <v>1.22</v>
      </c>
      <c r="F21" s="15"/>
      <c r="H21" s="16"/>
    </row>
    <row r="22" spans="2:8" ht="18.75" customHeight="1" x14ac:dyDescent="0.2">
      <c r="B22" s="19"/>
      <c r="C22" s="17" t="s">
        <v>34</v>
      </c>
      <c r="D22" s="18" t="s">
        <v>35</v>
      </c>
      <c r="E22" s="15">
        <f>IF(D7&gt;=1, 42, "")</f>
        <v>42</v>
      </c>
      <c r="F22" s="15"/>
      <c r="H22" s="20"/>
    </row>
    <row r="23" spans="2:8" ht="18.75" customHeight="1" x14ac:dyDescent="0.2">
      <c r="B23" s="19"/>
      <c r="C23" s="17" t="s">
        <v>36</v>
      </c>
      <c r="D23" s="18" t="s">
        <v>33</v>
      </c>
      <c r="E23" s="15">
        <f>IF(D7&gt;=1, 1.42, "")</f>
        <v>1.42</v>
      </c>
      <c r="F23" s="15"/>
      <c r="H23" s="20"/>
    </row>
    <row r="24" spans="2:8" ht="18.75" customHeight="1" x14ac:dyDescent="0.2">
      <c r="B24" s="21"/>
      <c r="C24" s="22" t="s">
        <v>37</v>
      </c>
      <c r="D24" s="23" t="s">
        <v>38</v>
      </c>
      <c r="E24" s="15">
        <f>IF(D6&gt;=1, 5.5, "")</f>
        <v>5.5</v>
      </c>
      <c r="F24" s="15"/>
      <c r="H24" s="24"/>
    </row>
    <row r="25" spans="2:8" ht="18.75" customHeight="1" x14ac:dyDescent="0.2">
      <c r="B25" s="21"/>
      <c r="C25" s="22" t="s">
        <v>39</v>
      </c>
      <c r="D25" s="23" t="s">
        <v>38</v>
      </c>
      <c r="E25" s="15">
        <f>IF(D6&gt;=1, 0.67, "")</f>
        <v>0.67</v>
      </c>
      <c r="F25" s="15"/>
      <c r="H25" s="24"/>
    </row>
    <row r="26" spans="2:8" ht="18.75" customHeight="1" x14ac:dyDescent="0.2">
      <c r="B26" s="21"/>
      <c r="C26" s="22" t="s">
        <v>40</v>
      </c>
      <c r="D26" s="23" t="s">
        <v>35</v>
      </c>
      <c r="E26" s="15">
        <f>IF(D6&gt;=1, 250, "")</f>
        <v>250</v>
      </c>
      <c r="F26" s="15"/>
      <c r="H26" s="24"/>
    </row>
    <row r="27" spans="2:8" ht="18.75" customHeight="1" x14ac:dyDescent="0.2">
      <c r="B27" s="13"/>
      <c r="C27" s="8" t="s">
        <v>41</v>
      </c>
      <c r="D27" s="14" t="s">
        <v>35</v>
      </c>
      <c r="E27" s="15">
        <v>300</v>
      </c>
      <c r="F27" s="15"/>
      <c r="H27" s="16"/>
    </row>
    <row r="28" spans="2:8" ht="18.75" customHeight="1" x14ac:dyDescent="0.2">
      <c r="B28" s="13"/>
      <c r="C28" s="8" t="s">
        <v>42</v>
      </c>
      <c r="D28" s="14" t="s">
        <v>35</v>
      </c>
      <c r="E28" s="15">
        <v>300</v>
      </c>
      <c r="F28" s="15"/>
      <c r="H28" s="16"/>
    </row>
    <row r="29" spans="2:8" ht="18.75" customHeight="1" x14ac:dyDescent="0.2">
      <c r="B29" s="13"/>
      <c r="C29" s="8" t="s">
        <v>43</v>
      </c>
      <c r="D29" s="14" t="s">
        <v>35</v>
      </c>
      <c r="E29" s="15">
        <v>24</v>
      </c>
      <c r="F29" s="15"/>
      <c r="H29" s="16"/>
    </row>
    <row r="30" spans="2:8" ht="18.75" customHeight="1" x14ac:dyDescent="0.2">
      <c r="B30" s="13"/>
      <c r="C30" s="8" t="s">
        <v>44</v>
      </c>
      <c r="D30" s="14" t="s">
        <v>35</v>
      </c>
      <c r="E30" s="15">
        <v>20</v>
      </c>
      <c r="F30" s="15"/>
      <c r="H30" s="16"/>
    </row>
    <row r="31" spans="2:8" ht="18.75" customHeight="1" x14ac:dyDescent="0.2">
      <c r="B31" s="13"/>
      <c r="C31" s="8" t="s">
        <v>45</v>
      </c>
      <c r="D31" s="14" t="s">
        <v>46</v>
      </c>
      <c r="E31" s="15">
        <v>705</v>
      </c>
      <c r="F31" s="15"/>
      <c r="H31" s="16"/>
    </row>
    <row r="32" spans="2:8" ht="18.75" customHeight="1" x14ac:dyDescent="0.2">
      <c r="B32" s="13"/>
      <c r="C32" s="8" t="s">
        <v>47</v>
      </c>
      <c r="D32" s="14" t="s">
        <v>46</v>
      </c>
      <c r="E32" s="15">
        <v>2175</v>
      </c>
      <c r="F32" s="15"/>
      <c r="H32" s="16"/>
    </row>
    <row r="33" spans="2:8" ht="18.75" customHeight="1" x14ac:dyDescent="0.2">
      <c r="B33" s="21"/>
      <c r="C33" s="22" t="s">
        <v>48</v>
      </c>
      <c r="D33" s="23" t="s">
        <v>35</v>
      </c>
      <c r="E33" s="15">
        <f>IF(D6&gt;=1, 600, "")</f>
        <v>600</v>
      </c>
      <c r="F33" s="15"/>
      <c r="H33" s="24"/>
    </row>
    <row r="34" spans="2:8" ht="6" customHeight="1" x14ac:dyDescent="0.2"/>
    <row r="35" spans="2:8" ht="18" customHeight="1" x14ac:dyDescent="0.2">
      <c r="B35" s="90" t="s">
        <v>49</v>
      </c>
      <c r="C35" s="88"/>
      <c r="D35" s="88"/>
      <c r="E35" s="88"/>
      <c r="F35" s="88"/>
      <c r="G35" s="88"/>
      <c r="H35" s="88"/>
    </row>
    <row r="36" spans="2:8" ht="15" customHeight="1" x14ac:dyDescent="0.2">
      <c r="B36" s="19"/>
      <c r="C36" s="17" t="s">
        <v>50</v>
      </c>
      <c r="D36" s="18" t="s">
        <v>33</v>
      </c>
      <c r="E36" s="15">
        <f>IF(D7&gt;=1, 32, "")</f>
        <v>32</v>
      </c>
      <c r="F36" s="15"/>
      <c r="H36" s="20"/>
    </row>
    <row r="37" spans="2:8" ht="18.75" customHeight="1" x14ac:dyDescent="0.2">
      <c r="B37" s="19"/>
      <c r="C37" s="17" t="s">
        <v>51</v>
      </c>
      <c r="D37" s="18" t="s">
        <v>33</v>
      </c>
      <c r="E37" s="15">
        <f>IF(D7&gt;=1, 5.3, "")</f>
        <v>5.3</v>
      </c>
      <c r="F37" s="15"/>
      <c r="H37" s="20"/>
    </row>
    <row r="38" spans="2:8" ht="18.75" customHeight="1" x14ac:dyDescent="0.2">
      <c r="B38" s="21"/>
      <c r="C38" s="22" t="s">
        <v>52</v>
      </c>
      <c r="D38" s="23" t="s">
        <v>38</v>
      </c>
      <c r="E38" s="15">
        <f>IF(D6&gt;=1, 8.3, "")</f>
        <v>8.3000000000000007</v>
      </c>
      <c r="F38" s="15"/>
      <c r="H38" s="24"/>
    </row>
    <row r="39" spans="2:8" ht="18.75" customHeight="1" x14ac:dyDescent="0.2">
      <c r="B39" s="21"/>
      <c r="C39" s="22" t="s">
        <v>53</v>
      </c>
      <c r="D39" s="23" t="s">
        <v>38</v>
      </c>
      <c r="E39" s="15">
        <f>IF(D6&gt;=1, 2.4, "")</f>
        <v>2.4</v>
      </c>
      <c r="F39" s="15"/>
      <c r="H39" s="24"/>
    </row>
    <row r="40" spans="2:8" ht="18.75" customHeight="1" x14ac:dyDescent="0.2">
      <c r="B40" s="13"/>
      <c r="C40" s="8" t="s">
        <v>54</v>
      </c>
      <c r="D40" s="14" t="s">
        <v>55</v>
      </c>
      <c r="E40" s="25"/>
      <c r="F40" s="15"/>
      <c r="H40" s="16"/>
    </row>
    <row r="41" spans="2:8" ht="6" customHeight="1" x14ac:dyDescent="0.2"/>
    <row r="42" spans="2:8" ht="18" customHeight="1" x14ac:dyDescent="0.2">
      <c r="B42" s="90" t="s">
        <v>56</v>
      </c>
      <c r="C42" s="88"/>
      <c r="D42" s="88"/>
      <c r="E42" s="88"/>
      <c r="F42" s="88"/>
      <c r="G42" s="88"/>
      <c r="H42" s="88"/>
    </row>
    <row r="43" spans="2:8" ht="15" customHeight="1" x14ac:dyDescent="0.2">
      <c r="B43" s="13"/>
      <c r="C43" s="8" t="s">
        <v>57</v>
      </c>
      <c r="D43" s="14" t="s">
        <v>30</v>
      </c>
      <c r="E43" s="15">
        <v>1.4</v>
      </c>
      <c r="F43" s="15"/>
      <c r="H43" s="16"/>
    </row>
    <row r="44" spans="2:8" ht="18.75" customHeight="1" x14ac:dyDescent="0.2">
      <c r="B44" s="13"/>
      <c r="C44" s="8" t="s">
        <v>58</v>
      </c>
      <c r="D44" s="14" t="s">
        <v>30</v>
      </c>
      <c r="E44" s="15">
        <v>0.84</v>
      </c>
      <c r="F44" s="15"/>
      <c r="H44" s="16"/>
    </row>
    <row r="45" spans="2:8" ht="18.75" customHeight="1" x14ac:dyDescent="0.2">
      <c r="B45" s="13"/>
      <c r="C45" s="8" t="s">
        <v>59</v>
      </c>
      <c r="D45" s="14" t="s">
        <v>30</v>
      </c>
      <c r="E45" s="15">
        <v>0.3</v>
      </c>
      <c r="F45" s="15"/>
      <c r="H45" s="16"/>
    </row>
    <row r="46" spans="2:8" ht="18.75" customHeight="1" x14ac:dyDescent="0.2">
      <c r="B46" s="13"/>
      <c r="C46" s="8" t="s">
        <v>60</v>
      </c>
      <c r="D46" s="14" t="s">
        <v>30</v>
      </c>
      <c r="E46" s="15">
        <v>0.36</v>
      </c>
      <c r="F46" s="15"/>
      <c r="H46" s="16"/>
    </row>
    <row r="47" spans="2:8" ht="18.75" customHeight="1" x14ac:dyDescent="0.2">
      <c r="B47" s="13"/>
      <c r="C47" s="8" t="s">
        <v>61</v>
      </c>
      <c r="D47" s="14" t="s">
        <v>30</v>
      </c>
      <c r="E47" s="15">
        <v>0.36</v>
      </c>
      <c r="F47" s="15"/>
      <c r="H47" s="16"/>
    </row>
    <row r="48" spans="2:8" ht="18.75" customHeight="1" x14ac:dyDescent="0.2">
      <c r="B48" s="13"/>
      <c r="C48" s="8" t="s">
        <v>62</v>
      </c>
      <c r="D48" s="14" t="s">
        <v>35</v>
      </c>
      <c r="E48" s="15">
        <v>14.39</v>
      </c>
      <c r="F48" s="15"/>
      <c r="H48" s="16"/>
    </row>
    <row r="49" spans="2:8" ht="18.75" customHeight="1" x14ac:dyDescent="0.2">
      <c r="B49" s="13"/>
      <c r="C49" s="8" t="s">
        <v>63</v>
      </c>
      <c r="D49" s="14" t="s">
        <v>46</v>
      </c>
      <c r="E49" s="15">
        <v>350</v>
      </c>
      <c r="F49" s="15"/>
      <c r="H49" s="16"/>
    </row>
    <row r="50" spans="2:8" ht="18.75" customHeight="1" x14ac:dyDescent="0.2">
      <c r="B50" s="13"/>
      <c r="C50" s="8" t="s">
        <v>64</v>
      </c>
      <c r="D50" s="14" t="s">
        <v>46</v>
      </c>
      <c r="E50" s="15">
        <v>7.99</v>
      </c>
      <c r="F50" s="15"/>
      <c r="H50" s="16"/>
    </row>
    <row r="51" spans="2:8" ht="6" customHeight="1" x14ac:dyDescent="0.2"/>
    <row r="52" spans="2:8" ht="18" customHeight="1" x14ac:dyDescent="0.2">
      <c r="B52" s="90" t="s">
        <v>65</v>
      </c>
      <c r="C52" s="88"/>
      <c r="D52" s="88"/>
      <c r="E52" s="88"/>
      <c r="F52" s="88"/>
      <c r="G52" s="88"/>
      <c r="H52" s="88"/>
    </row>
    <row r="53" spans="2:8" ht="15" customHeight="1" x14ac:dyDescent="0.2">
      <c r="B53" s="13"/>
      <c r="C53" s="8" t="s">
        <v>66</v>
      </c>
      <c r="D53" s="14" t="s">
        <v>30</v>
      </c>
      <c r="E53" s="15">
        <v>2.5</v>
      </c>
      <c r="F53" s="15"/>
      <c r="H53" s="16"/>
    </row>
    <row r="54" spans="2:8" ht="18.75" customHeight="1" x14ac:dyDescent="0.2">
      <c r="B54" s="13"/>
      <c r="C54" s="8" t="s">
        <v>67</v>
      </c>
      <c r="D54" s="14" t="s">
        <v>30</v>
      </c>
      <c r="E54" s="15">
        <v>2.5</v>
      </c>
      <c r="F54" s="15"/>
      <c r="H54" s="16"/>
    </row>
    <row r="55" spans="2:8" ht="18.75" customHeight="1" x14ac:dyDescent="0.2">
      <c r="B55" s="19"/>
      <c r="C55" s="17" t="s">
        <v>68</v>
      </c>
      <c r="D55" s="18" t="s">
        <v>33</v>
      </c>
      <c r="E55" s="15">
        <f>IF(D7&gt;=1, 3.6, "")</f>
        <v>3.6</v>
      </c>
      <c r="F55" s="15"/>
      <c r="H55" s="20"/>
    </row>
    <row r="56" spans="2:8" ht="18.75" customHeight="1" x14ac:dyDescent="0.2">
      <c r="B56" s="21"/>
      <c r="C56" s="22" t="s">
        <v>69</v>
      </c>
      <c r="D56" s="23" t="s">
        <v>38</v>
      </c>
      <c r="E56" s="15">
        <f>IF(D6&gt;=1, 2.5, "")</f>
        <v>2.5</v>
      </c>
      <c r="F56" s="15"/>
      <c r="H56" s="24"/>
    </row>
    <row r="57" spans="2:8" ht="6" customHeight="1" x14ac:dyDescent="0.2"/>
    <row r="58" spans="2:8" ht="18" customHeight="1" x14ac:dyDescent="0.2">
      <c r="B58" s="90" t="s">
        <v>70</v>
      </c>
      <c r="C58" s="88"/>
      <c r="D58" s="88"/>
      <c r="E58" s="88"/>
      <c r="F58" s="88"/>
      <c r="G58" s="88"/>
      <c r="H58" s="88"/>
    </row>
    <row r="59" spans="2:8" ht="15" customHeight="1" x14ac:dyDescent="0.2">
      <c r="B59" s="19"/>
      <c r="C59" s="17" t="s">
        <v>71</v>
      </c>
      <c r="D59" s="18" t="s">
        <v>33</v>
      </c>
      <c r="E59" s="15">
        <f>IF(D7&gt;=1, 4, "")</f>
        <v>4</v>
      </c>
      <c r="F59" s="15"/>
      <c r="H59" s="20"/>
    </row>
    <row r="60" spans="2:8" ht="18.75" customHeight="1" x14ac:dyDescent="0.2">
      <c r="B60" s="13"/>
      <c r="C60" s="8" t="s">
        <v>72</v>
      </c>
      <c r="D60" s="14" t="s">
        <v>30</v>
      </c>
      <c r="E60" s="15">
        <v>2.87</v>
      </c>
      <c r="F60" s="15"/>
      <c r="H60" s="16"/>
    </row>
    <row r="61" spans="2:8" ht="18.75" customHeight="1" x14ac:dyDescent="0.2">
      <c r="B61" s="13"/>
      <c r="C61" s="8" t="s">
        <v>73</v>
      </c>
      <c r="D61" s="14" t="s">
        <v>30</v>
      </c>
      <c r="E61" s="15">
        <v>7.16</v>
      </c>
      <c r="F61" s="15"/>
      <c r="H61" s="16"/>
    </row>
    <row r="62" spans="2:8" ht="6" customHeight="1" x14ac:dyDescent="0.2"/>
    <row r="63" spans="2:8" ht="18" customHeight="1" x14ac:dyDescent="0.2">
      <c r="B63" s="90" t="s">
        <v>74</v>
      </c>
      <c r="C63" s="88"/>
      <c r="D63" s="88"/>
      <c r="E63" s="88"/>
      <c r="F63" s="88"/>
      <c r="G63" s="88"/>
      <c r="H63" s="88"/>
    </row>
    <row r="64" spans="2:8" ht="15" customHeight="1" x14ac:dyDescent="0.2">
      <c r="B64" s="13"/>
      <c r="C64" s="8" t="s">
        <v>75</v>
      </c>
      <c r="D64" s="14" t="s">
        <v>30</v>
      </c>
      <c r="E64" s="15">
        <v>15</v>
      </c>
      <c r="F64" s="15"/>
      <c r="H64" s="16"/>
    </row>
    <row r="65" spans="2:8" ht="18.75" customHeight="1" x14ac:dyDescent="0.2">
      <c r="B65" s="13"/>
      <c r="C65" s="8" t="s">
        <v>76</v>
      </c>
      <c r="D65" s="14" t="s">
        <v>30</v>
      </c>
      <c r="E65" s="15">
        <v>75</v>
      </c>
      <c r="F65" s="15"/>
      <c r="H65" s="16"/>
    </row>
    <row r="66" spans="2:8" ht="6" customHeight="1" x14ac:dyDescent="0.2"/>
    <row r="67" spans="2:8" ht="18" customHeight="1" x14ac:dyDescent="0.2">
      <c r="B67" s="90" t="s">
        <v>77</v>
      </c>
      <c r="C67" s="88"/>
      <c r="D67" s="88"/>
      <c r="E67" s="88"/>
      <c r="F67" s="88"/>
      <c r="G67" s="88"/>
      <c r="H67" s="88"/>
    </row>
    <row r="68" spans="2:8" ht="15" customHeight="1" x14ac:dyDescent="0.2">
      <c r="B68" s="13"/>
      <c r="C68" s="8" t="s">
        <v>78</v>
      </c>
      <c r="D68" s="14" t="s">
        <v>35</v>
      </c>
      <c r="E68" s="15">
        <v>72</v>
      </c>
      <c r="F68" s="15"/>
      <c r="H68" s="16"/>
    </row>
    <row r="69" spans="2:8" ht="18.75" customHeight="1" x14ac:dyDescent="0.2">
      <c r="B69" s="13"/>
      <c r="C69" s="8" t="s">
        <v>79</v>
      </c>
      <c r="D69" s="14" t="s">
        <v>35</v>
      </c>
      <c r="E69" s="15">
        <v>40</v>
      </c>
      <c r="F69" s="15"/>
      <c r="H69" s="16"/>
    </row>
    <row r="70" spans="2:8" ht="18.75" customHeight="1" x14ac:dyDescent="0.2">
      <c r="B70" s="13"/>
      <c r="C70" s="8" t="s">
        <v>80</v>
      </c>
      <c r="D70" s="14" t="s">
        <v>30</v>
      </c>
      <c r="E70" s="15">
        <v>0.23599999999999999</v>
      </c>
      <c r="F70" s="15"/>
      <c r="H70" s="16"/>
    </row>
    <row r="71" spans="2:8" ht="18.75" customHeight="1" x14ac:dyDescent="0.2">
      <c r="B71" s="13"/>
      <c r="C71" s="8" t="s">
        <v>81</v>
      </c>
      <c r="D71" s="14" t="s">
        <v>46</v>
      </c>
      <c r="E71" s="15">
        <v>250</v>
      </c>
      <c r="F71" s="15"/>
      <c r="H71" s="16"/>
    </row>
    <row r="72" spans="2:8" ht="18.75" customHeight="1" x14ac:dyDescent="0.2">
      <c r="B72" s="13"/>
      <c r="C72" s="8" t="s">
        <v>82</v>
      </c>
      <c r="D72" s="14" t="s">
        <v>46</v>
      </c>
      <c r="E72" s="15">
        <v>15</v>
      </c>
      <c r="F72" s="15"/>
      <c r="H72" s="16"/>
    </row>
    <row r="73" spans="2:8" ht="18.75" customHeight="1" x14ac:dyDescent="0.2">
      <c r="B73" s="13"/>
      <c r="C73" s="8" t="s">
        <v>83</v>
      </c>
      <c r="D73" s="14" t="s">
        <v>46</v>
      </c>
      <c r="E73" s="15">
        <v>600</v>
      </c>
      <c r="F73" s="15"/>
      <c r="H73" s="16"/>
    </row>
    <row r="74" spans="2:8" ht="18.75" customHeight="1" x14ac:dyDescent="0.2">
      <c r="B74" s="13"/>
      <c r="C74" s="8" t="s">
        <v>84</v>
      </c>
      <c r="D74" s="14" t="s">
        <v>46</v>
      </c>
      <c r="E74" s="15">
        <v>80</v>
      </c>
      <c r="F74" s="15"/>
      <c r="H74" s="16"/>
    </row>
    <row r="75" spans="2:8" ht="18.75" customHeight="1" x14ac:dyDescent="0.2">
      <c r="B75" s="13"/>
      <c r="C75" s="8" t="s">
        <v>85</v>
      </c>
      <c r="D75" s="14" t="s">
        <v>46</v>
      </c>
      <c r="E75" s="15">
        <v>60</v>
      </c>
      <c r="F75" s="15"/>
      <c r="H75" s="16"/>
    </row>
    <row r="76" spans="2:8" ht="18.75" customHeight="1" x14ac:dyDescent="0.2">
      <c r="B76" s="13"/>
      <c r="C76" s="8" t="s">
        <v>86</v>
      </c>
      <c r="D76" s="14" t="s">
        <v>46</v>
      </c>
      <c r="E76" s="15">
        <v>100</v>
      </c>
      <c r="F76" s="15"/>
      <c r="H76" s="16"/>
    </row>
    <row r="77" spans="2:8" ht="18.75" customHeight="1" x14ac:dyDescent="0.2">
      <c r="B77" s="13"/>
      <c r="C77" s="8" t="s">
        <v>87</v>
      </c>
      <c r="D77" s="14" t="s">
        <v>46</v>
      </c>
      <c r="E77" s="15">
        <v>150</v>
      </c>
      <c r="F77" s="15"/>
      <c r="H77" s="16"/>
    </row>
    <row r="78" spans="2:8" ht="6" customHeight="1" x14ac:dyDescent="0.2"/>
    <row r="79" spans="2:8" ht="18" customHeight="1" x14ac:dyDescent="0.2">
      <c r="B79" s="90" t="s">
        <v>88</v>
      </c>
      <c r="C79" s="88"/>
      <c r="D79" s="88"/>
      <c r="E79" s="88"/>
      <c r="F79" s="88"/>
      <c r="G79" s="88"/>
      <c r="H79" s="88"/>
    </row>
    <row r="80" spans="2:8" ht="15" customHeight="1" x14ac:dyDescent="0.2">
      <c r="B80" s="13"/>
      <c r="C80" s="8" t="s">
        <v>89</v>
      </c>
      <c r="D80" s="14" t="s">
        <v>30</v>
      </c>
      <c r="E80" s="15">
        <v>4.25</v>
      </c>
      <c r="F80" s="15"/>
      <c r="H80" s="16"/>
    </row>
    <row r="81" spans="2:8" ht="18.75" customHeight="1" x14ac:dyDescent="0.2">
      <c r="B81" s="13"/>
      <c r="C81" s="8" t="s">
        <v>90</v>
      </c>
      <c r="D81" s="14" t="s">
        <v>30</v>
      </c>
      <c r="E81" s="15">
        <v>2.25</v>
      </c>
      <c r="F81" s="15"/>
      <c r="H81" s="16"/>
    </row>
    <row r="82" spans="2:8" ht="18.75" customHeight="1" x14ac:dyDescent="0.2">
      <c r="B82" s="13"/>
      <c r="C82" s="8" t="s">
        <v>91</v>
      </c>
      <c r="D82" s="14" t="s">
        <v>35</v>
      </c>
      <c r="E82" s="15">
        <v>53.98</v>
      </c>
      <c r="F82" s="15"/>
      <c r="H82" s="16"/>
    </row>
    <row r="83" spans="2:8" ht="18.75" customHeight="1" x14ac:dyDescent="0.2">
      <c r="B83" s="13"/>
      <c r="C83" s="8" t="s">
        <v>92</v>
      </c>
      <c r="D83" s="14" t="s">
        <v>35</v>
      </c>
      <c r="E83" s="15">
        <v>42</v>
      </c>
      <c r="F83" s="15"/>
      <c r="H83" s="16"/>
    </row>
    <row r="84" spans="2:8" ht="18.75" customHeight="1" x14ac:dyDescent="0.2">
      <c r="B84" s="13"/>
      <c r="C84" s="8" t="s">
        <v>93</v>
      </c>
      <c r="D84" s="14" t="s">
        <v>35</v>
      </c>
      <c r="E84" s="15">
        <v>115.96</v>
      </c>
      <c r="F84" s="15"/>
      <c r="H84" s="16"/>
    </row>
    <row r="85" spans="2:8" ht="18.75" customHeight="1" x14ac:dyDescent="0.2">
      <c r="B85" s="13"/>
      <c r="C85" s="8" t="s">
        <v>94</v>
      </c>
      <c r="D85" s="14" t="s">
        <v>35</v>
      </c>
      <c r="E85" s="15">
        <v>167</v>
      </c>
      <c r="F85" s="15"/>
      <c r="H85" s="16"/>
    </row>
    <row r="86" spans="2:8" ht="18.75" customHeight="1" x14ac:dyDescent="0.2">
      <c r="B86" s="13"/>
      <c r="C86" s="8" t="s">
        <v>95</v>
      </c>
      <c r="D86" s="14" t="s">
        <v>30</v>
      </c>
      <c r="E86" s="15">
        <v>0.21</v>
      </c>
      <c r="F86" s="15"/>
      <c r="H86" s="16"/>
    </row>
    <row r="87" spans="2:8" ht="18.75" customHeight="1" x14ac:dyDescent="0.2">
      <c r="B87" s="13"/>
      <c r="C87" s="8" t="s">
        <v>96</v>
      </c>
      <c r="D87" s="14" t="s">
        <v>35</v>
      </c>
      <c r="E87" s="15">
        <v>74</v>
      </c>
      <c r="F87" s="15"/>
      <c r="H87" s="16"/>
    </row>
    <row r="88" spans="2:8" ht="18.75" customHeight="1" x14ac:dyDescent="0.2">
      <c r="B88" s="13"/>
      <c r="C88" s="8" t="s">
        <v>97</v>
      </c>
      <c r="D88" s="14" t="s">
        <v>35</v>
      </c>
      <c r="E88" s="15">
        <v>45</v>
      </c>
      <c r="F88" s="15"/>
      <c r="H88" s="16"/>
    </row>
    <row r="89" spans="2:8" ht="18.75" customHeight="1" x14ac:dyDescent="0.2">
      <c r="B89" s="13"/>
      <c r="C89" s="8" t="s">
        <v>98</v>
      </c>
      <c r="D89" s="14" t="s">
        <v>30</v>
      </c>
      <c r="E89" s="15">
        <v>0.52</v>
      </c>
      <c r="F89" s="15"/>
      <c r="H89" s="16"/>
    </row>
    <row r="90" spans="2:8" ht="18.75" customHeight="1" x14ac:dyDescent="0.2">
      <c r="B90" s="13"/>
      <c r="C90" s="8" t="s">
        <v>99</v>
      </c>
      <c r="D90" s="14" t="s">
        <v>30</v>
      </c>
      <c r="E90" s="15">
        <v>1.04</v>
      </c>
      <c r="F90" s="15"/>
      <c r="H90" s="16"/>
    </row>
    <row r="91" spans="2:8" ht="18.75" customHeight="1" x14ac:dyDescent="0.2">
      <c r="B91" s="13"/>
      <c r="C91" s="8" t="s">
        <v>100</v>
      </c>
      <c r="D91" s="14" t="s">
        <v>46</v>
      </c>
      <c r="E91" s="15">
        <v>1500</v>
      </c>
      <c r="F91" s="15"/>
      <c r="H91" s="16"/>
    </row>
    <row r="92" spans="2:8" ht="18.75" customHeight="1" x14ac:dyDescent="0.2">
      <c r="B92" s="13"/>
      <c r="C92" s="8" t="s">
        <v>101</v>
      </c>
      <c r="D92" s="14" t="s">
        <v>46</v>
      </c>
      <c r="E92" s="15">
        <v>42</v>
      </c>
      <c r="F92" s="15"/>
      <c r="H92" s="16"/>
    </row>
    <row r="93" spans="2:8" ht="18.75" customHeight="1" x14ac:dyDescent="0.2">
      <c r="B93" s="13"/>
      <c r="C93" s="8" t="s">
        <v>102</v>
      </c>
      <c r="D93" s="14" t="s">
        <v>35</v>
      </c>
      <c r="E93" s="15">
        <v>80</v>
      </c>
      <c r="F93" s="15"/>
      <c r="H93" s="16"/>
    </row>
    <row r="94" spans="2:8" ht="18.75" customHeight="1" x14ac:dyDescent="0.2">
      <c r="B94" s="13"/>
      <c r="C94" s="8" t="s">
        <v>103</v>
      </c>
      <c r="D94" s="14" t="s">
        <v>35</v>
      </c>
      <c r="E94" s="15">
        <v>20</v>
      </c>
      <c r="F94" s="15"/>
      <c r="H94" s="16"/>
    </row>
    <row r="95" spans="2:8" ht="6" customHeight="1" x14ac:dyDescent="0.2"/>
    <row r="96" spans="2:8" ht="18" customHeight="1" x14ac:dyDescent="0.2">
      <c r="B96" s="90" t="s">
        <v>104</v>
      </c>
      <c r="C96" s="88"/>
      <c r="D96" s="88"/>
      <c r="E96" s="88"/>
      <c r="F96" s="88"/>
      <c r="G96" s="88"/>
      <c r="H96" s="88"/>
    </row>
    <row r="97" spans="2:8" ht="15" customHeight="1" x14ac:dyDescent="0.2">
      <c r="B97" s="13"/>
      <c r="C97" s="8" t="s">
        <v>105</v>
      </c>
      <c r="D97" s="14" t="s">
        <v>35</v>
      </c>
      <c r="E97" s="15">
        <v>66</v>
      </c>
      <c r="F97" s="15"/>
      <c r="H97" s="16"/>
    </row>
    <row r="98" spans="2:8" ht="18.75" customHeight="1" x14ac:dyDescent="0.2">
      <c r="B98" s="13"/>
      <c r="C98" s="8" t="s">
        <v>106</v>
      </c>
      <c r="D98" s="14" t="s">
        <v>35</v>
      </c>
      <c r="E98" s="15">
        <v>174</v>
      </c>
      <c r="F98" s="15"/>
      <c r="H98" s="16"/>
    </row>
    <row r="99" spans="2:8" ht="18.75" customHeight="1" x14ac:dyDescent="0.2">
      <c r="B99" s="21"/>
      <c r="C99" s="22" t="s">
        <v>107</v>
      </c>
      <c r="D99" s="23" t="s">
        <v>35</v>
      </c>
      <c r="E99" s="15">
        <f>IF(D6&gt;=1, 52, "")</f>
        <v>52</v>
      </c>
      <c r="F99" s="15"/>
      <c r="H99" s="24"/>
    </row>
    <row r="100" spans="2:8" ht="18.75" customHeight="1" x14ac:dyDescent="0.2">
      <c r="B100" s="21"/>
      <c r="C100" s="22" t="s">
        <v>108</v>
      </c>
      <c r="D100" s="23" t="s">
        <v>35</v>
      </c>
      <c r="E100" s="15">
        <f>IF(D6&gt;=1, 132, "")</f>
        <v>132</v>
      </c>
      <c r="F100" s="15"/>
      <c r="H100" s="24"/>
    </row>
    <row r="101" spans="2:8" ht="18.75" customHeight="1" x14ac:dyDescent="0.2">
      <c r="B101" s="21"/>
      <c r="C101" s="8" t="s">
        <v>109</v>
      </c>
      <c r="D101" s="14" t="s">
        <v>35</v>
      </c>
      <c r="E101" s="15">
        <v>50</v>
      </c>
      <c r="F101" s="15"/>
      <c r="H101" s="24"/>
    </row>
    <row r="102" spans="2:8" ht="18.75" customHeight="1" x14ac:dyDescent="0.2">
      <c r="B102" s="13"/>
      <c r="C102" s="8" t="s">
        <v>110</v>
      </c>
      <c r="D102" s="14" t="s">
        <v>35</v>
      </c>
      <c r="E102" s="15">
        <v>70</v>
      </c>
      <c r="F102" s="15"/>
      <c r="H102" s="16"/>
    </row>
    <row r="103" spans="2:8" ht="18.75" customHeight="1" x14ac:dyDescent="0.2">
      <c r="B103" s="13"/>
      <c r="C103" s="8" t="s">
        <v>111</v>
      </c>
      <c r="D103" s="14" t="s">
        <v>35</v>
      </c>
      <c r="E103" s="15">
        <v>400</v>
      </c>
      <c r="F103" s="15"/>
      <c r="H103" s="16"/>
    </row>
    <row r="104" spans="2:8" ht="6" customHeight="1" x14ac:dyDescent="0.2"/>
    <row r="105" spans="2:8" ht="18" customHeight="1" x14ac:dyDescent="0.2">
      <c r="B105" s="90" t="s">
        <v>112</v>
      </c>
      <c r="C105" s="88"/>
      <c r="D105" s="88"/>
      <c r="E105" s="88"/>
      <c r="F105" s="88"/>
      <c r="G105" s="88"/>
      <c r="H105" s="88"/>
    </row>
    <row r="106" spans="2:8" ht="15" customHeight="1" x14ac:dyDescent="0.2">
      <c r="B106" s="13"/>
      <c r="C106" s="8" t="s">
        <v>113</v>
      </c>
      <c r="D106" s="14" t="s">
        <v>46</v>
      </c>
      <c r="E106" s="15">
        <v>400</v>
      </c>
      <c r="F106" s="15"/>
      <c r="H106" s="16"/>
    </row>
    <row r="107" spans="2:8" ht="6" customHeight="1" x14ac:dyDescent="0.2"/>
    <row r="108" spans="2:8" ht="18" customHeight="1" x14ac:dyDescent="0.2">
      <c r="B108" s="90" t="s">
        <v>114</v>
      </c>
      <c r="C108" s="88"/>
      <c r="D108" s="88"/>
      <c r="E108" s="88"/>
      <c r="F108" s="88"/>
      <c r="G108" s="88"/>
      <c r="H108" s="88"/>
    </row>
    <row r="109" spans="2:8" ht="15" customHeight="1" x14ac:dyDescent="0.2">
      <c r="B109" s="13"/>
      <c r="C109" s="8" t="s">
        <v>115</v>
      </c>
      <c r="D109" s="14" t="s">
        <v>35</v>
      </c>
      <c r="E109" s="15">
        <v>1800</v>
      </c>
      <c r="F109" s="15"/>
      <c r="H109" s="16"/>
    </row>
    <row r="110" spans="2:8" ht="18.75" customHeight="1" x14ac:dyDescent="0.2">
      <c r="B110" s="13"/>
      <c r="C110" s="8" t="s">
        <v>116</v>
      </c>
      <c r="D110" s="14" t="s">
        <v>35</v>
      </c>
      <c r="E110" s="15">
        <v>420</v>
      </c>
      <c r="F110" s="15"/>
      <c r="H110" s="16"/>
    </row>
    <row r="111" spans="2:8" ht="18.75" customHeight="1" x14ac:dyDescent="0.2">
      <c r="B111" s="13"/>
      <c r="C111" s="8" t="s">
        <v>117</v>
      </c>
      <c r="D111" s="14" t="s">
        <v>35</v>
      </c>
      <c r="E111" s="15">
        <v>600</v>
      </c>
      <c r="F111" s="15"/>
      <c r="H111" s="16"/>
    </row>
    <row r="112" spans="2:8" ht="6" customHeight="1" x14ac:dyDescent="0.2"/>
    <row r="113" spans="2:8" ht="18" customHeight="1" x14ac:dyDescent="0.2">
      <c r="B113" s="90" t="s">
        <v>118</v>
      </c>
      <c r="C113" s="88"/>
      <c r="D113" s="88"/>
      <c r="E113" s="88"/>
      <c r="F113" s="88"/>
      <c r="G113" s="88"/>
      <c r="H113" s="88"/>
    </row>
    <row r="114" spans="2:8" ht="15" customHeight="1" x14ac:dyDescent="0.2">
      <c r="B114" s="13"/>
      <c r="C114" s="8" t="s">
        <v>119</v>
      </c>
      <c r="D114" s="14" t="s">
        <v>30</v>
      </c>
      <c r="E114" s="15">
        <v>25</v>
      </c>
      <c r="F114" s="15"/>
      <c r="H114" s="16"/>
    </row>
    <row r="115" spans="2:8" ht="18.75" customHeight="1" x14ac:dyDescent="0.2">
      <c r="B115" s="13"/>
      <c r="C115" s="8" t="s">
        <v>120</v>
      </c>
      <c r="D115" s="14" t="s">
        <v>35</v>
      </c>
      <c r="E115" s="15">
        <v>600</v>
      </c>
      <c r="F115" s="15"/>
      <c r="H115" s="16"/>
    </row>
    <row r="116" spans="2:8" ht="18.75" customHeight="1" x14ac:dyDescent="0.2">
      <c r="B116" s="13"/>
      <c r="C116" s="8" t="s">
        <v>121</v>
      </c>
      <c r="D116" s="14" t="s">
        <v>35</v>
      </c>
      <c r="E116" s="15">
        <v>250</v>
      </c>
      <c r="F116" s="15"/>
      <c r="H116" s="16"/>
    </row>
    <row r="117" spans="2:8" ht="18.75" customHeight="1" x14ac:dyDescent="0.2">
      <c r="B117" s="13"/>
      <c r="C117" s="8" t="s">
        <v>122</v>
      </c>
      <c r="D117" s="14" t="s">
        <v>46</v>
      </c>
      <c r="E117" s="15">
        <v>25000</v>
      </c>
      <c r="F117" s="15"/>
      <c r="H117" s="16"/>
    </row>
    <row r="118" spans="2:8" ht="6" customHeight="1" x14ac:dyDescent="0.2"/>
    <row r="119" spans="2:8" ht="18" customHeight="1" x14ac:dyDescent="0.2">
      <c r="B119" s="90" t="s">
        <v>123</v>
      </c>
      <c r="C119" s="88"/>
      <c r="D119" s="88"/>
      <c r="E119" s="88"/>
      <c r="F119" s="88"/>
      <c r="G119" s="88"/>
      <c r="H119" s="88"/>
    </row>
    <row r="120" spans="2:8" ht="15" customHeight="1" x14ac:dyDescent="0.2">
      <c r="B120" s="13"/>
      <c r="C120" s="8" t="s">
        <v>124</v>
      </c>
      <c r="D120" s="14" t="s">
        <v>55</v>
      </c>
      <c r="E120" s="25"/>
      <c r="F120" s="15"/>
      <c r="H120" s="16"/>
    </row>
    <row r="121" spans="2:8" ht="18.75" customHeight="1" x14ac:dyDescent="0.2">
      <c r="B121" s="13"/>
      <c r="C121" s="8" t="s">
        <v>125</v>
      </c>
      <c r="D121" s="14" t="s">
        <v>55</v>
      </c>
      <c r="E121" s="25"/>
      <c r="F121" s="15"/>
      <c r="H121" s="16"/>
    </row>
    <row r="122" spans="2:8" ht="18.75" customHeight="1" x14ac:dyDescent="0.2">
      <c r="B122" s="13"/>
      <c r="C122" s="8" t="s">
        <v>126</v>
      </c>
      <c r="D122" s="14" t="s">
        <v>55</v>
      </c>
      <c r="E122" s="25"/>
      <c r="F122" s="15"/>
      <c r="H122" s="16"/>
    </row>
    <row r="123" spans="2:8" ht="18.75" customHeight="1" x14ac:dyDescent="0.2">
      <c r="B123" s="13"/>
      <c r="C123" s="8" t="s">
        <v>127</v>
      </c>
      <c r="D123" s="14" t="s">
        <v>55</v>
      </c>
      <c r="E123" s="25"/>
      <c r="F123" s="15"/>
      <c r="H123" s="16"/>
    </row>
    <row r="124" spans="2:8" ht="18.75" customHeight="1" x14ac:dyDescent="0.2">
      <c r="B124" s="13"/>
      <c r="C124" s="8" t="s">
        <v>128</v>
      </c>
      <c r="D124" s="14" t="s">
        <v>55</v>
      </c>
      <c r="E124" s="25"/>
      <c r="F124" s="15"/>
      <c r="H124" s="16"/>
    </row>
    <row r="125" spans="2:8" ht="18.75" customHeight="1" x14ac:dyDescent="0.2">
      <c r="B125" s="13"/>
      <c r="C125" s="8" t="s">
        <v>129</v>
      </c>
      <c r="D125" s="14" t="s">
        <v>55</v>
      </c>
      <c r="E125" s="25"/>
      <c r="F125" s="15"/>
      <c r="H125" s="16"/>
    </row>
    <row r="143" spans="2:8" ht="36" customHeight="1" x14ac:dyDescent="0.2">
      <c r="B143" s="92" t="s">
        <v>130</v>
      </c>
      <c r="C143" s="88"/>
      <c r="D143" s="88"/>
      <c r="E143" s="88"/>
      <c r="F143" s="88"/>
      <c r="G143" s="88"/>
      <c r="H143" s="88"/>
    </row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</sheetData>
  <mergeCells count="20">
    <mergeCell ref="B143:H143"/>
    <mergeCell ref="B16:I16"/>
    <mergeCell ref="B5:H5"/>
    <mergeCell ref="B63:H63"/>
    <mergeCell ref="B79:H79"/>
    <mergeCell ref="B35:H35"/>
    <mergeCell ref="B119:H119"/>
    <mergeCell ref="B2:I2"/>
    <mergeCell ref="B113:H113"/>
    <mergeCell ref="B3:E3"/>
    <mergeCell ref="B1:I1"/>
    <mergeCell ref="B18:H18"/>
    <mergeCell ref="B58:H58"/>
    <mergeCell ref="B96:H96"/>
    <mergeCell ref="B52:H52"/>
    <mergeCell ref="B105:H105"/>
    <mergeCell ref="B42:H42"/>
    <mergeCell ref="B67:H67"/>
    <mergeCell ref="B10:H10"/>
    <mergeCell ref="B108:H108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53"/>
  <sheetViews>
    <sheetView showGridLines="0" zoomScaleNormal="100" workbookViewId="0">
      <pane ySplit="7" topLeftCell="A8" activePane="bottomLeft" state="frozen"/>
      <selection pane="bottomLeft" activeCell="D25" sqref="D25"/>
    </sheetView>
  </sheetViews>
  <sheetFormatPr baseColWidth="10" defaultColWidth="8.5" defaultRowHeight="15" x14ac:dyDescent="0.2"/>
  <cols>
    <col min="1" max="1" width="2" customWidth="1"/>
    <col min="2" max="2" width="34" customWidth="1"/>
    <col min="3" max="4" width="18" customWidth="1"/>
    <col min="5" max="6" width="16" customWidth="1"/>
    <col min="7" max="7" width="20" customWidth="1"/>
  </cols>
  <sheetData>
    <row r="1" spans="2:7" ht="39.75" customHeight="1" x14ac:dyDescent="0.2">
      <c r="B1" s="89" t="s">
        <v>131</v>
      </c>
      <c r="C1" s="88"/>
      <c r="D1" s="88"/>
      <c r="E1" s="88"/>
      <c r="F1" s="88"/>
      <c r="G1" s="88"/>
    </row>
    <row r="2" spans="2:7" ht="19.5" customHeight="1" x14ac:dyDescent="0.2">
      <c r="B2" s="87" t="s">
        <v>132</v>
      </c>
      <c r="C2" s="88"/>
      <c r="D2" s="88"/>
      <c r="E2" s="88"/>
      <c r="F2" s="88"/>
      <c r="G2" s="88"/>
    </row>
    <row r="4" spans="2:7" ht="18" customHeight="1" x14ac:dyDescent="0.2">
      <c r="B4" s="26" t="s">
        <v>8</v>
      </c>
      <c r="C4" s="27" t="s">
        <v>9</v>
      </c>
      <c r="D4" s="28" t="s">
        <v>30</v>
      </c>
      <c r="E4" s="29" t="s">
        <v>133</v>
      </c>
      <c r="F4" s="29" t="s">
        <v>134</v>
      </c>
      <c r="G4" s="29" t="s">
        <v>135</v>
      </c>
    </row>
    <row r="5" spans="2:7" ht="30" customHeight="1" x14ac:dyDescent="0.2">
      <c r="B5" s="30">
        <f>'📋 Inputs'!D6</f>
        <v>600</v>
      </c>
      <c r="C5" s="31">
        <f>'📋 Inputs'!D7</f>
        <v>900</v>
      </c>
      <c r="D5" s="32">
        <f>'📋 Inputs'!D6+'📋 Inputs'!D7</f>
        <v>1500</v>
      </c>
      <c r="E5" s="33">
        <f>'📋 Inputs'!D8</f>
        <v>1500</v>
      </c>
      <c r="F5" s="34">
        <f>F141</f>
        <v>603608.33600000001</v>
      </c>
      <c r="G5" s="35">
        <f>F142</f>
        <v>402.40555733333332</v>
      </c>
    </row>
    <row r="6" spans="2:7" ht="7.5" customHeight="1" x14ac:dyDescent="0.2"/>
    <row r="7" spans="2:7" ht="24" customHeight="1" x14ac:dyDescent="0.2">
      <c r="B7" s="11" t="s">
        <v>136</v>
      </c>
      <c r="C7" s="11" t="s">
        <v>24</v>
      </c>
      <c r="D7" s="11" t="s">
        <v>137</v>
      </c>
      <c r="E7" s="11" t="s">
        <v>138</v>
      </c>
      <c r="F7" s="11" t="s">
        <v>139</v>
      </c>
      <c r="G7" s="11" t="s">
        <v>140</v>
      </c>
    </row>
    <row r="8" spans="2:7" ht="18" customHeight="1" x14ac:dyDescent="0.2">
      <c r="B8" s="90" t="s">
        <v>16</v>
      </c>
      <c r="C8" s="88"/>
      <c r="D8" s="88"/>
      <c r="E8" s="88"/>
      <c r="F8" s="88"/>
      <c r="G8" s="88"/>
    </row>
    <row r="9" spans="2:7" ht="18.75" customHeight="1" x14ac:dyDescent="0.2">
      <c r="B9" s="8" t="s">
        <v>17</v>
      </c>
      <c r="C9" s="14" t="s">
        <v>141</v>
      </c>
      <c r="D9" s="36">
        <f>'📋 Inputs'!D11</f>
        <v>21.57</v>
      </c>
      <c r="E9" s="37"/>
      <c r="F9" s="38">
        <f>'📋 Inputs'!H11</f>
        <v>44865.599999999999</v>
      </c>
      <c r="G9" s="14" t="s">
        <v>142</v>
      </c>
    </row>
    <row r="10" spans="2:7" ht="18.75" customHeight="1" x14ac:dyDescent="0.2">
      <c r="B10" s="8" t="s">
        <v>143</v>
      </c>
      <c r="C10" s="14" t="s">
        <v>144</v>
      </c>
      <c r="D10" s="36"/>
      <c r="E10" s="37"/>
      <c r="F10" s="38">
        <f>F9*0.3</f>
        <v>13459.679999999998</v>
      </c>
      <c r="G10" s="14" t="s">
        <v>142</v>
      </c>
    </row>
    <row r="11" spans="2:7" ht="18.75" customHeight="1" x14ac:dyDescent="0.2">
      <c r="B11" s="8" t="s">
        <v>18</v>
      </c>
      <c r="C11" s="14" t="s">
        <v>141</v>
      </c>
      <c r="D11" s="36">
        <f>'📋 Inputs'!D12</f>
        <v>21.96</v>
      </c>
      <c r="E11" s="37"/>
      <c r="F11" s="38">
        <f>'📋 Inputs'!H12</f>
        <v>45676.800000000003</v>
      </c>
      <c r="G11" s="14" t="s">
        <v>142</v>
      </c>
    </row>
    <row r="12" spans="2:7" ht="18.75" customHeight="1" x14ac:dyDescent="0.2">
      <c r="B12" s="8" t="s">
        <v>145</v>
      </c>
      <c r="C12" s="14" t="s">
        <v>144</v>
      </c>
      <c r="D12" s="36"/>
      <c r="E12" s="37"/>
      <c r="F12" s="38">
        <f>F11*0.3</f>
        <v>13703.04</v>
      </c>
      <c r="G12" s="14" t="s">
        <v>142</v>
      </c>
    </row>
    <row r="13" spans="2:7" ht="18.75" customHeight="1" x14ac:dyDescent="0.2">
      <c r="B13" s="8" t="s">
        <v>146</v>
      </c>
      <c r="C13" s="14" t="s">
        <v>141</v>
      </c>
      <c r="D13" s="36">
        <f>'📋 Inputs'!D13</f>
        <v>15.64</v>
      </c>
      <c r="E13" s="37"/>
      <c r="F13" s="38">
        <f>'📋 Inputs'!H13</f>
        <v>32531.200000000001</v>
      </c>
      <c r="G13" s="14" t="s">
        <v>142</v>
      </c>
    </row>
    <row r="14" spans="2:7" ht="18.75" customHeight="1" x14ac:dyDescent="0.2">
      <c r="B14" s="8" t="s">
        <v>147</v>
      </c>
      <c r="C14" s="14" t="s">
        <v>144</v>
      </c>
      <c r="D14" s="36"/>
      <c r="E14" s="37"/>
      <c r="F14" s="38">
        <f>F13*0.3</f>
        <v>9759.36</v>
      </c>
      <c r="G14" s="14" t="s">
        <v>142</v>
      </c>
    </row>
    <row r="15" spans="2:7" ht="18.75" customHeight="1" x14ac:dyDescent="0.2">
      <c r="B15" s="8" t="s">
        <v>148</v>
      </c>
      <c r="C15" s="14" t="s">
        <v>141</v>
      </c>
      <c r="D15" s="36">
        <f>'📋 Inputs'!D14</f>
        <v>15.64</v>
      </c>
      <c r="E15" s="37"/>
      <c r="F15" s="38">
        <f>'📋 Inputs'!H14</f>
        <v>19518.72</v>
      </c>
      <c r="G15" s="14" t="s">
        <v>142</v>
      </c>
    </row>
    <row r="16" spans="2:7" ht="18.75" customHeight="1" x14ac:dyDescent="0.2">
      <c r="B16" s="8" t="s">
        <v>149</v>
      </c>
      <c r="C16" s="14" t="s">
        <v>144</v>
      </c>
      <c r="D16" s="36"/>
      <c r="E16" s="37"/>
      <c r="F16" s="38">
        <f>F15*0.3</f>
        <v>5855.616</v>
      </c>
      <c r="G16" s="14" t="s">
        <v>142</v>
      </c>
    </row>
    <row r="17" spans="2:7" ht="19.5" customHeight="1" x14ac:dyDescent="0.2">
      <c r="B17" s="39" t="s">
        <v>150</v>
      </c>
      <c r="C17" s="40"/>
      <c r="D17" s="40"/>
      <c r="E17" s="40"/>
      <c r="F17" s="41">
        <f>SUM(F9:F16)</f>
        <v>185370.016</v>
      </c>
      <c r="G17" s="40"/>
    </row>
    <row r="18" spans="2:7" ht="4.5" customHeight="1" x14ac:dyDescent="0.2"/>
    <row r="19" spans="2:7" ht="18" customHeight="1" x14ac:dyDescent="0.2">
      <c r="B19" s="90" t="s">
        <v>28</v>
      </c>
      <c r="C19" s="88"/>
      <c r="D19" s="88"/>
      <c r="E19" s="88"/>
      <c r="F19" s="88"/>
      <c r="G19" s="88"/>
    </row>
    <row r="20" spans="2:7" ht="18.75" customHeight="1" x14ac:dyDescent="0.2">
      <c r="B20" s="8" t="s">
        <v>151</v>
      </c>
      <c r="C20" s="14" t="s">
        <v>30</v>
      </c>
      <c r="D20" s="36">
        <f>IFERROR('📋 Inputs'!E19*'📋 Inputs'!D8,0)</f>
        <v>240</v>
      </c>
      <c r="E20" s="37" t="str">
        <f>IF('📋 Inputs'!F19="","",'📋 Inputs'!F19)</f>
        <v/>
      </c>
      <c r="F20" s="38">
        <f t="shared" ref="F20:F34" si="0">IF(E20&lt;&gt;"",E20,D20)</f>
        <v>240</v>
      </c>
      <c r="G20" s="14" t="s">
        <v>142</v>
      </c>
    </row>
    <row r="21" spans="2:7" ht="18.75" customHeight="1" x14ac:dyDescent="0.2">
      <c r="B21" s="8" t="s">
        <v>152</v>
      </c>
      <c r="C21" s="14" t="s">
        <v>30</v>
      </c>
      <c r="D21" s="36">
        <f>IFERROR('📋 Inputs'!E20*'📋 Inputs'!D8,0)</f>
        <v>87</v>
      </c>
      <c r="E21" s="37" t="str">
        <f>IF('📋 Inputs'!F20="","",'📋 Inputs'!F20)</f>
        <v/>
      </c>
      <c r="F21" s="38">
        <f t="shared" si="0"/>
        <v>87</v>
      </c>
      <c r="G21" s="14" t="s">
        <v>142</v>
      </c>
    </row>
    <row r="22" spans="2:7" ht="18.75" customHeight="1" x14ac:dyDescent="0.2">
      <c r="B22" s="17" t="s">
        <v>153</v>
      </c>
      <c r="C22" s="18" t="s">
        <v>33</v>
      </c>
      <c r="D22" s="36">
        <f>IFERROR('📋 Inputs'!E21*'📋 Inputs'!D7,0)</f>
        <v>1098</v>
      </c>
      <c r="E22" s="42" t="str">
        <f>IF('📋 Inputs'!F21="","",'📋 Inputs'!F21)</f>
        <v/>
      </c>
      <c r="F22" s="43">
        <f t="shared" si="0"/>
        <v>1098</v>
      </c>
      <c r="G22" s="18" t="s">
        <v>154</v>
      </c>
    </row>
    <row r="23" spans="2:7" ht="18.75" customHeight="1" x14ac:dyDescent="0.2">
      <c r="B23" s="17" t="s">
        <v>155</v>
      </c>
      <c r="C23" s="18" t="s">
        <v>35</v>
      </c>
      <c r="D23" s="36">
        <f>IFERROR('📋 Inputs'!E22,0)</f>
        <v>42</v>
      </c>
      <c r="E23" s="42" t="str">
        <f>IF('📋 Inputs'!F22="","",'📋 Inputs'!F22)</f>
        <v/>
      </c>
      <c r="F23" s="43">
        <f t="shared" si="0"/>
        <v>42</v>
      </c>
      <c r="G23" s="18" t="s">
        <v>154</v>
      </c>
    </row>
    <row r="24" spans="2:7" ht="18.75" customHeight="1" x14ac:dyDescent="0.2">
      <c r="B24" s="17" t="s">
        <v>156</v>
      </c>
      <c r="C24" s="18" t="s">
        <v>33</v>
      </c>
      <c r="D24" s="36">
        <f>IFERROR('📋 Inputs'!E23*'📋 Inputs'!D7,0)</f>
        <v>1278</v>
      </c>
      <c r="E24" s="42" t="str">
        <f>IF('📋 Inputs'!F23="","",'📋 Inputs'!F23)</f>
        <v/>
      </c>
      <c r="F24" s="43">
        <f t="shared" si="0"/>
        <v>1278</v>
      </c>
      <c r="G24" s="18" t="s">
        <v>154</v>
      </c>
    </row>
    <row r="25" spans="2:7" ht="18.75" customHeight="1" x14ac:dyDescent="0.2">
      <c r="B25" s="22" t="s">
        <v>157</v>
      </c>
      <c r="C25" s="23" t="s">
        <v>38</v>
      </c>
      <c r="D25" s="36">
        <f>IFERROR('📋 Inputs'!E24*'📋 Inputs'!D6,0)</f>
        <v>3300</v>
      </c>
      <c r="E25" s="44" t="str">
        <f>IF('📋 Inputs'!F24="","",'📋 Inputs'!F24)</f>
        <v/>
      </c>
      <c r="F25" s="45">
        <f t="shared" si="0"/>
        <v>3300</v>
      </c>
      <c r="G25" s="23" t="s">
        <v>158</v>
      </c>
    </row>
    <row r="26" spans="2:7" ht="18.75" customHeight="1" x14ac:dyDescent="0.2">
      <c r="B26" s="22" t="s">
        <v>159</v>
      </c>
      <c r="C26" s="23" t="s">
        <v>38</v>
      </c>
      <c r="D26" s="36">
        <f>IFERROR('📋 Inputs'!E25*'📋 Inputs'!D6,0)</f>
        <v>402</v>
      </c>
      <c r="E26" s="44" t="str">
        <f>IF('📋 Inputs'!F26="","",'📋 Inputs'!F26)</f>
        <v/>
      </c>
      <c r="F26" s="45">
        <f t="shared" si="0"/>
        <v>402</v>
      </c>
      <c r="G26" s="23" t="s">
        <v>158</v>
      </c>
    </row>
    <row r="27" spans="2:7" ht="18.75" customHeight="1" x14ac:dyDescent="0.2">
      <c r="B27" s="22" t="s">
        <v>160</v>
      </c>
      <c r="C27" s="23" t="s">
        <v>35</v>
      </c>
      <c r="D27" s="36">
        <f>'📋 Inputs'!E26</f>
        <v>250</v>
      </c>
      <c r="E27" s="44" t="str">
        <f>IF('📋 Inputs'!F26="","",'📋 Inputs'!F26)</f>
        <v/>
      </c>
      <c r="F27" s="45">
        <f t="shared" si="0"/>
        <v>250</v>
      </c>
      <c r="G27" s="23" t="s">
        <v>158</v>
      </c>
    </row>
    <row r="28" spans="2:7" ht="18.75" customHeight="1" x14ac:dyDescent="0.2">
      <c r="B28" s="8" t="s">
        <v>161</v>
      </c>
      <c r="C28" s="14" t="s">
        <v>35</v>
      </c>
      <c r="D28" s="36">
        <f>IFERROR('📋 Inputs'!E27,0)</f>
        <v>300</v>
      </c>
      <c r="E28" s="37" t="str">
        <f>IF('📋 Inputs'!F27="","",'📋 Inputs'!F27)</f>
        <v/>
      </c>
      <c r="F28" s="38">
        <f t="shared" si="0"/>
        <v>300</v>
      </c>
      <c r="G28" s="14" t="s">
        <v>142</v>
      </c>
    </row>
    <row r="29" spans="2:7" ht="18.75" customHeight="1" x14ac:dyDescent="0.2">
      <c r="B29" s="8" t="s">
        <v>162</v>
      </c>
      <c r="C29" s="14" t="s">
        <v>35</v>
      </c>
      <c r="D29" s="36">
        <f>IFERROR('📋 Inputs'!E28,0)</f>
        <v>300</v>
      </c>
      <c r="E29" s="37" t="str">
        <f>IF('📋 Inputs'!F28="","",'📋 Inputs'!F28)</f>
        <v/>
      </c>
      <c r="F29" s="38">
        <f t="shared" si="0"/>
        <v>300</v>
      </c>
      <c r="G29" s="14" t="s">
        <v>142</v>
      </c>
    </row>
    <row r="30" spans="2:7" ht="18.75" customHeight="1" x14ac:dyDescent="0.2">
      <c r="B30" s="8" t="s">
        <v>163</v>
      </c>
      <c r="C30" s="14" t="s">
        <v>35</v>
      </c>
      <c r="D30" s="36">
        <f>IFERROR('📋 Inputs'!E29,0)</f>
        <v>24</v>
      </c>
      <c r="E30" s="37" t="str">
        <f>IF('📋 Inputs'!F29="","",'📋 Inputs'!F29)</f>
        <v/>
      </c>
      <c r="F30" s="38">
        <f t="shared" si="0"/>
        <v>24</v>
      </c>
      <c r="G30" s="14" t="s">
        <v>142</v>
      </c>
    </row>
    <row r="31" spans="2:7" ht="18.75" customHeight="1" x14ac:dyDescent="0.2">
      <c r="B31" s="8" t="s">
        <v>164</v>
      </c>
      <c r="C31" s="14" t="s">
        <v>35</v>
      </c>
      <c r="D31" s="36">
        <f>IFERROR('📋 Inputs'!E30,0)</f>
        <v>20</v>
      </c>
      <c r="E31" s="37" t="str">
        <f>IF('📋 Inputs'!F30="","",'📋 Inputs'!F30)</f>
        <v/>
      </c>
      <c r="F31" s="38">
        <f t="shared" si="0"/>
        <v>20</v>
      </c>
      <c r="G31" s="14" t="s">
        <v>142</v>
      </c>
    </row>
    <row r="32" spans="2:7" ht="18.75" customHeight="1" x14ac:dyDescent="0.2">
      <c r="B32" s="8" t="s">
        <v>165</v>
      </c>
      <c r="C32" s="14" t="s">
        <v>46</v>
      </c>
      <c r="D32" s="36">
        <f>IFERROR('📋 Inputs'!E31,0)</f>
        <v>705</v>
      </c>
      <c r="E32" s="37" t="str">
        <f>IF('📋 Inputs'!F31="","",'📋 Inputs'!F31)</f>
        <v/>
      </c>
      <c r="F32" s="38">
        <f t="shared" si="0"/>
        <v>705</v>
      </c>
      <c r="G32" s="14" t="s">
        <v>142</v>
      </c>
    </row>
    <row r="33" spans="2:7" ht="18.75" customHeight="1" x14ac:dyDescent="0.2">
      <c r="B33" s="8" t="s">
        <v>166</v>
      </c>
      <c r="C33" s="14" t="s">
        <v>46</v>
      </c>
      <c r="D33" s="36">
        <f>IFERROR('📋 Inputs'!E32,0)</f>
        <v>2175</v>
      </c>
      <c r="E33" s="37" t="str">
        <f>IF('📋 Inputs'!F32="","",'📋 Inputs'!F32)</f>
        <v/>
      </c>
      <c r="F33" s="38">
        <f t="shared" si="0"/>
        <v>2175</v>
      </c>
      <c r="G33" s="14" t="s">
        <v>142</v>
      </c>
    </row>
    <row r="34" spans="2:7" ht="18.75" customHeight="1" x14ac:dyDescent="0.2">
      <c r="B34" s="22" t="s">
        <v>167</v>
      </c>
      <c r="C34" s="23" t="s">
        <v>46</v>
      </c>
      <c r="D34" s="36">
        <f>IFERROR('📋 Inputs'!E33,0)</f>
        <v>600</v>
      </c>
      <c r="E34" s="44" t="str">
        <f>IF('📋 Inputs'!F33="","",'📋 Inputs'!F33)</f>
        <v/>
      </c>
      <c r="F34" s="45">
        <f t="shared" si="0"/>
        <v>600</v>
      </c>
      <c r="G34" s="23" t="s">
        <v>158</v>
      </c>
    </row>
    <row r="35" spans="2:7" ht="19.5" customHeight="1" x14ac:dyDescent="0.2">
      <c r="B35" s="39" t="s">
        <v>168</v>
      </c>
      <c r="C35" s="40"/>
      <c r="D35" s="40"/>
      <c r="E35" s="40"/>
      <c r="F35" s="41">
        <f>SUM(F20,F21,F22,F23,F24,F25,F26,F27,F28,F29,F30,F31,F32,F33,F34)</f>
        <v>10821</v>
      </c>
      <c r="G35" s="40"/>
    </row>
    <row r="36" spans="2:7" ht="4.5" customHeight="1" x14ac:dyDescent="0.2"/>
    <row r="37" spans="2:7" ht="18" customHeight="1" x14ac:dyDescent="0.2">
      <c r="B37" s="90" t="s">
        <v>49</v>
      </c>
      <c r="C37" s="88"/>
      <c r="D37" s="88"/>
      <c r="E37" s="88"/>
      <c r="F37" s="88"/>
      <c r="G37" s="88"/>
    </row>
    <row r="38" spans="2:7" ht="18.75" customHeight="1" x14ac:dyDescent="0.2">
      <c r="B38" s="17" t="s">
        <v>169</v>
      </c>
      <c r="C38" s="18" t="s">
        <v>33</v>
      </c>
      <c r="D38" s="36">
        <f>IFERROR('📋 Inputs'!E36*'📋 Inputs'!D7,0)</f>
        <v>28800</v>
      </c>
      <c r="E38" s="42" t="str">
        <f>IF('📋 Inputs'!F36="","",'📋 Inputs'!F36)</f>
        <v/>
      </c>
      <c r="F38" s="43">
        <f>IF(E38&lt;&gt;"",E38,D38)</f>
        <v>28800</v>
      </c>
      <c r="G38" s="18" t="s">
        <v>154</v>
      </c>
    </row>
    <row r="39" spans="2:7" ht="18.75" customHeight="1" x14ac:dyDescent="0.2">
      <c r="B39" s="17" t="s">
        <v>170</v>
      </c>
      <c r="C39" s="18" t="s">
        <v>33</v>
      </c>
      <c r="D39" s="36">
        <f>IFERROR('📋 Inputs'!E37*'📋 Inputs'!D7,0)</f>
        <v>4770</v>
      </c>
      <c r="E39" s="42" t="str">
        <f>IF('📋 Inputs'!F37="","",'📋 Inputs'!F37)</f>
        <v/>
      </c>
      <c r="F39" s="43">
        <f>IF(E39&lt;&gt;"",E39,D39)</f>
        <v>4770</v>
      </c>
      <c r="G39" s="18" t="s">
        <v>154</v>
      </c>
    </row>
    <row r="40" spans="2:7" ht="18.75" customHeight="1" x14ac:dyDescent="0.2">
      <c r="B40" s="22" t="s">
        <v>171</v>
      </c>
      <c r="C40" s="23" t="s">
        <v>38</v>
      </c>
      <c r="D40" s="36">
        <f>IFERROR('📋 Inputs'!E38*'📋 Inputs'!D6,0)</f>
        <v>4980</v>
      </c>
      <c r="E40" s="44" t="str">
        <f>IF('📋 Inputs'!F38="","",'📋 Inputs'!F38)</f>
        <v/>
      </c>
      <c r="F40" s="45">
        <f>IF(E40&lt;&gt;"",E40,D40)</f>
        <v>4980</v>
      </c>
      <c r="G40" s="23" t="s">
        <v>158</v>
      </c>
    </row>
    <row r="41" spans="2:7" ht="18.75" customHeight="1" x14ac:dyDescent="0.2">
      <c r="B41" s="22" t="s">
        <v>172</v>
      </c>
      <c r="C41" s="23" t="s">
        <v>38</v>
      </c>
      <c r="D41" s="36">
        <f>IFERROR('📋 Inputs'!E39*'📋 Inputs'!D6,0)</f>
        <v>1440</v>
      </c>
      <c r="E41" s="44" t="str">
        <f>IF('📋 Inputs'!F39="","",'📋 Inputs'!F39)</f>
        <v/>
      </c>
      <c r="F41" s="45">
        <f>IF(E41&lt;&gt;"",E41,D41)</f>
        <v>1440</v>
      </c>
      <c r="G41" s="23" t="s">
        <v>158</v>
      </c>
    </row>
    <row r="42" spans="2:7" ht="18.75" customHeight="1" x14ac:dyDescent="0.2">
      <c r="B42" s="8" t="s">
        <v>173</v>
      </c>
      <c r="C42" s="14" t="s">
        <v>55</v>
      </c>
      <c r="D42" s="46">
        <f>IFERROR('📋 Inputs'!E40,0)</f>
        <v>0</v>
      </c>
      <c r="E42" s="37" t="str">
        <f>IF('📋 Inputs'!F40="","",'📋 Inputs'!F40)</f>
        <v/>
      </c>
      <c r="F42" s="38">
        <f>IF(E42&lt;&gt;"",E42,D42)</f>
        <v>0</v>
      </c>
      <c r="G42" s="14" t="s">
        <v>142</v>
      </c>
    </row>
    <row r="43" spans="2:7" ht="19.5" customHeight="1" x14ac:dyDescent="0.2">
      <c r="B43" s="39" t="s">
        <v>174</v>
      </c>
      <c r="C43" s="40"/>
      <c r="D43" s="40"/>
      <c r="E43" s="40"/>
      <c r="F43" s="41">
        <f>SUM(F38,F39,F40,F41,F42)</f>
        <v>39990</v>
      </c>
      <c r="G43" s="40"/>
    </row>
    <row r="44" spans="2:7" ht="4.5" customHeight="1" x14ac:dyDescent="0.2"/>
    <row r="45" spans="2:7" ht="18" customHeight="1" x14ac:dyDescent="0.2">
      <c r="B45" s="90" t="s">
        <v>56</v>
      </c>
      <c r="C45" s="88"/>
      <c r="D45" s="88"/>
      <c r="E45" s="88"/>
      <c r="F45" s="88"/>
      <c r="G45" s="88"/>
    </row>
    <row r="46" spans="2:7" ht="18.75" customHeight="1" x14ac:dyDescent="0.2">
      <c r="B46" s="8" t="s">
        <v>175</v>
      </c>
      <c r="C46" s="14" t="s">
        <v>30</v>
      </c>
      <c r="D46" s="36">
        <f>IFERROR('📋 Inputs'!E43*'📋 Inputs'!D8,0)</f>
        <v>2100</v>
      </c>
      <c r="E46" s="37" t="str">
        <f>IF('📋 Inputs'!F43="","",'📋 Inputs'!F43)</f>
        <v/>
      </c>
      <c r="F46" s="38">
        <f t="shared" ref="F46:F53" si="1">IF(E46&lt;&gt;"",E46,D46)</f>
        <v>2100</v>
      </c>
      <c r="G46" s="14" t="s">
        <v>142</v>
      </c>
    </row>
    <row r="47" spans="2:7" ht="18.75" customHeight="1" x14ac:dyDescent="0.2">
      <c r="B47" s="8" t="s">
        <v>176</v>
      </c>
      <c r="C47" s="14" t="s">
        <v>30</v>
      </c>
      <c r="D47" s="36">
        <f>IFERROR('📋 Inputs'!E44*'📋 Inputs'!D8,0)</f>
        <v>1260</v>
      </c>
      <c r="E47" s="37" t="str">
        <f>IF('📋 Inputs'!F44="","",'📋 Inputs'!F44)</f>
        <v/>
      </c>
      <c r="F47" s="38">
        <f t="shared" si="1"/>
        <v>1260</v>
      </c>
      <c r="G47" s="14" t="s">
        <v>142</v>
      </c>
    </row>
    <row r="48" spans="2:7" ht="18.75" customHeight="1" x14ac:dyDescent="0.2">
      <c r="B48" s="8" t="s">
        <v>177</v>
      </c>
      <c r="C48" s="14" t="s">
        <v>30</v>
      </c>
      <c r="D48" s="36">
        <f>IFERROR('📋 Inputs'!E45*'📋 Inputs'!D8,0)</f>
        <v>450</v>
      </c>
      <c r="E48" s="37" t="str">
        <f>IF('📋 Inputs'!F45="","",'📋 Inputs'!F45)</f>
        <v/>
      </c>
      <c r="F48" s="38">
        <f t="shared" si="1"/>
        <v>450</v>
      </c>
      <c r="G48" s="14" t="s">
        <v>142</v>
      </c>
    </row>
    <row r="49" spans="2:7" ht="18.75" customHeight="1" x14ac:dyDescent="0.2">
      <c r="B49" s="8" t="s">
        <v>178</v>
      </c>
      <c r="C49" s="14" t="s">
        <v>30</v>
      </c>
      <c r="D49" s="36">
        <f>IFERROR('📋 Inputs'!E46*'📋 Inputs'!D8,0)</f>
        <v>540</v>
      </c>
      <c r="E49" s="37" t="str">
        <f>IF('📋 Inputs'!F46="","",'📋 Inputs'!F46)</f>
        <v/>
      </c>
      <c r="F49" s="38">
        <f t="shared" si="1"/>
        <v>540</v>
      </c>
      <c r="G49" s="14" t="s">
        <v>142</v>
      </c>
    </row>
    <row r="50" spans="2:7" ht="18.75" customHeight="1" x14ac:dyDescent="0.2">
      <c r="B50" s="8" t="s">
        <v>179</v>
      </c>
      <c r="C50" s="14" t="s">
        <v>30</v>
      </c>
      <c r="D50" s="36">
        <f>IFERROR('📋 Inputs'!E47*'📋 Inputs'!D8,0)</f>
        <v>540</v>
      </c>
      <c r="E50" s="37" t="str">
        <f>IF('📋 Inputs'!F47="","",'📋 Inputs'!F47)</f>
        <v/>
      </c>
      <c r="F50" s="38">
        <f t="shared" si="1"/>
        <v>540</v>
      </c>
      <c r="G50" s="14" t="s">
        <v>142</v>
      </c>
    </row>
    <row r="51" spans="2:7" ht="18.75" customHeight="1" x14ac:dyDescent="0.2">
      <c r="B51" s="8" t="s">
        <v>180</v>
      </c>
      <c r="C51" s="14" t="s">
        <v>46</v>
      </c>
      <c r="D51" s="36">
        <f>IFERROR('📋 Inputs'!E48,0)</f>
        <v>14.39</v>
      </c>
      <c r="E51" s="37" t="str">
        <f>IF('📋 Inputs'!F48="","",'📋 Inputs'!F48)</f>
        <v/>
      </c>
      <c r="F51" s="38">
        <f t="shared" si="1"/>
        <v>14.39</v>
      </c>
      <c r="G51" s="14" t="s">
        <v>142</v>
      </c>
    </row>
    <row r="52" spans="2:7" ht="18.75" customHeight="1" x14ac:dyDescent="0.2">
      <c r="B52" s="8" t="s">
        <v>181</v>
      </c>
      <c r="C52" s="14" t="s">
        <v>46</v>
      </c>
      <c r="D52" s="36">
        <f>IFERROR('📋 Inputs'!E49,0)</f>
        <v>350</v>
      </c>
      <c r="E52" s="37" t="str">
        <f>IF('📋 Inputs'!F49="","",'📋 Inputs'!F49)</f>
        <v/>
      </c>
      <c r="F52" s="38">
        <f t="shared" si="1"/>
        <v>350</v>
      </c>
      <c r="G52" s="14" t="s">
        <v>142</v>
      </c>
    </row>
    <row r="53" spans="2:7" ht="18.75" customHeight="1" x14ac:dyDescent="0.2">
      <c r="B53" s="8" t="s">
        <v>182</v>
      </c>
      <c r="C53" s="14" t="s">
        <v>46</v>
      </c>
      <c r="D53" s="36">
        <f>IFERROR('📋 Inputs'!E50,0)</f>
        <v>7.99</v>
      </c>
      <c r="E53" s="37" t="str">
        <f>IF('📋 Inputs'!F50="","",'📋 Inputs'!F50)</f>
        <v/>
      </c>
      <c r="F53" s="38">
        <f t="shared" si="1"/>
        <v>7.99</v>
      </c>
      <c r="G53" s="14" t="s">
        <v>142</v>
      </c>
    </row>
    <row r="54" spans="2:7" ht="19.5" customHeight="1" x14ac:dyDescent="0.2">
      <c r="B54" s="39" t="s">
        <v>183</v>
      </c>
      <c r="C54" s="40"/>
      <c r="D54" s="40"/>
      <c r="E54" s="40"/>
      <c r="F54" s="41">
        <f>SUM(F46,F47,F48,F49,F50,F51,F52,F53)</f>
        <v>5262.38</v>
      </c>
      <c r="G54" s="40"/>
    </row>
    <row r="55" spans="2:7" ht="4.5" customHeight="1" x14ac:dyDescent="0.2"/>
    <row r="56" spans="2:7" ht="18" customHeight="1" x14ac:dyDescent="0.2">
      <c r="B56" s="90" t="s">
        <v>65</v>
      </c>
      <c r="C56" s="88"/>
      <c r="D56" s="88"/>
      <c r="E56" s="88"/>
      <c r="F56" s="88"/>
      <c r="G56" s="88"/>
    </row>
    <row r="57" spans="2:7" ht="18.75" customHeight="1" x14ac:dyDescent="0.2">
      <c r="B57" s="8" t="s">
        <v>184</v>
      </c>
      <c r="C57" s="14" t="s">
        <v>30</v>
      </c>
      <c r="D57" s="36">
        <f>IFERROR('📋 Inputs'!E53*'📋 Inputs'!D8,0)</f>
        <v>3750</v>
      </c>
      <c r="E57" s="37" t="str">
        <f>IF('📋 Inputs'!F53="","",'📋 Inputs'!F53)</f>
        <v/>
      </c>
      <c r="F57" s="47">
        <f>IF(E57&lt;&gt;"",E57,D57)</f>
        <v>3750</v>
      </c>
      <c r="G57" s="14" t="s">
        <v>142</v>
      </c>
    </row>
    <row r="58" spans="2:7" ht="18.75" customHeight="1" x14ac:dyDescent="0.2">
      <c r="B58" s="8" t="s">
        <v>185</v>
      </c>
      <c r="C58" s="14" t="s">
        <v>30</v>
      </c>
      <c r="D58" s="36">
        <f>IFERROR('📋 Inputs'!E54*'📋 Inputs'!D8,0)</f>
        <v>3750</v>
      </c>
      <c r="E58" s="37" t="str">
        <f>IF('📋 Inputs'!F54="","",'📋 Inputs'!F54)</f>
        <v/>
      </c>
      <c r="F58" s="47">
        <f>IF(E58&lt;&gt;"",E58,D58)</f>
        <v>3750</v>
      </c>
      <c r="G58" s="14" t="s">
        <v>142</v>
      </c>
    </row>
    <row r="59" spans="2:7" ht="18.75" customHeight="1" x14ac:dyDescent="0.2">
      <c r="B59" s="17" t="s">
        <v>186</v>
      </c>
      <c r="C59" s="18" t="s">
        <v>33</v>
      </c>
      <c r="D59" s="36">
        <f>IFERROR('📋 Inputs'!E55*'📋 Inputs'!D7,0)</f>
        <v>3240</v>
      </c>
      <c r="E59" s="42" t="str">
        <f>IF('📋 Inputs'!F55="","",'📋 Inputs'!F55)</f>
        <v/>
      </c>
      <c r="F59" s="48">
        <f>IF(E59&lt;&gt;"",E59,D59)</f>
        <v>3240</v>
      </c>
      <c r="G59" s="18" t="s">
        <v>154</v>
      </c>
    </row>
    <row r="60" spans="2:7" ht="18.75" customHeight="1" x14ac:dyDescent="0.2">
      <c r="B60" s="22" t="s">
        <v>187</v>
      </c>
      <c r="C60" s="23" t="s">
        <v>38</v>
      </c>
      <c r="D60" s="36">
        <f>IFERROR('📋 Inputs'!E56*'📋 Inputs'!D6,0)</f>
        <v>1500</v>
      </c>
      <c r="E60" s="44" t="str">
        <f>IF('📋 Inputs'!F56="","",'📋 Inputs'!F56)</f>
        <v/>
      </c>
      <c r="F60" s="49">
        <f>IF(E60&lt;&gt;"",E60,D60)</f>
        <v>1500</v>
      </c>
      <c r="G60" s="23" t="s">
        <v>158</v>
      </c>
    </row>
    <row r="61" spans="2:7" ht="19.5" customHeight="1" x14ac:dyDescent="0.2">
      <c r="B61" s="39" t="s">
        <v>188</v>
      </c>
      <c r="C61" s="40"/>
      <c r="D61" s="40"/>
      <c r="E61" s="40"/>
      <c r="F61" s="41">
        <f>SUM(F57,F58,F59,F60)</f>
        <v>12240</v>
      </c>
      <c r="G61" s="40"/>
    </row>
    <row r="62" spans="2:7" ht="4.5" customHeight="1" x14ac:dyDescent="0.2"/>
    <row r="63" spans="2:7" ht="18" customHeight="1" x14ac:dyDescent="0.2">
      <c r="B63" s="90" t="s">
        <v>70</v>
      </c>
      <c r="C63" s="88"/>
      <c r="D63" s="88"/>
      <c r="E63" s="88"/>
      <c r="F63" s="88"/>
      <c r="G63" s="88"/>
    </row>
    <row r="64" spans="2:7" ht="18.75" customHeight="1" x14ac:dyDescent="0.2">
      <c r="B64" s="17" t="s">
        <v>189</v>
      </c>
      <c r="C64" s="18" t="s">
        <v>33</v>
      </c>
      <c r="D64" s="36">
        <f>IFERROR('📋 Inputs'!E59*'📋 Inputs'!D7,0)</f>
        <v>3600</v>
      </c>
      <c r="E64" s="42" t="str">
        <f>IF('📋 Inputs'!F59="","",'📋 Inputs'!F59)</f>
        <v/>
      </c>
      <c r="F64" s="43">
        <f>IF(E64&lt;&gt;"",E64,D64)</f>
        <v>3600</v>
      </c>
      <c r="G64" s="18" t="s">
        <v>154</v>
      </c>
    </row>
    <row r="65" spans="2:7" ht="18.75" customHeight="1" x14ac:dyDescent="0.2">
      <c r="B65" s="8" t="s">
        <v>190</v>
      </c>
      <c r="C65" s="14" t="s">
        <v>30</v>
      </c>
      <c r="D65" s="36">
        <f>IFERROR('📋 Inputs'!E60*'📋 Inputs'!D8,0)</f>
        <v>4305</v>
      </c>
      <c r="E65" s="37" t="str">
        <f>IF('📋 Inputs'!F60="","",'📋 Inputs'!F60)</f>
        <v/>
      </c>
      <c r="F65" s="38">
        <f>IF(E65&lt;&gt;"",E65,D65)</f>
        <v>4305</v>
      </c>
      <c r="G65" s="14" t="s">
        <v>142</v>
      </c>
    </row>
    <row r="66" spans="2:7" ht="18.75" customHeight="1" x14ac:dyDescent="0.2">
      <c r="B66" s="8" t="s">
        <v>191</v>
      </c>
      <c r="C66" s="14" t="s">
        <v>30</v>
      </c>
      <c r="D66" s="36">
        <f>IFERROR('📋 Inputs'!E61*'📋 Inputs'!D8,0)</f>
        <v>10740</v>
      </c>
      <c r="E66" s="37" t="str">
        <f>IF('📋 Inputs'!F61="","",'📋 Inputs'!F61)</f>
        <v/>
      </c>
      <c r="F66" s="38">
        <f>IF(E66&lt;&gt;"",E66,D66)</f>
        <v>10740</v>
      </c>
      <c r="G66" s="14" t="s">
        <v>142</v>
      </c>
    </row>
    <row r="67" spans="2:7" ht="19.5" customHeight="1" x14ac:dyDescent="0.2">
      <c r="B67" s="39" t="s">
        <v>192</v>
      </c>
      <c r="C67" s="40"/>
      <c r="D67" s="40"/>
      <c r="E67" s="40"/>
      <c r="F67" s="41">
        <f>SUM(F64,F65,F66)</f>
        <v>18645</v>
      </c>
      <c r="G67" s="40"/>
    </row>
    <row r="68" spans="2:7" ht="4.5" customHeight="1" x14ac:dyDescent="0.2"/>
    <row r="69" spans="2:7" ht="18" customHeight="1" x14ac:dyDescent="0.2">
      <c r="B69" s="90" t="s">
        <v>74</v>
      </c>
      <c r="C69" s="88"/>
      <c r="D69" s="88"/>
      <c r="E69" s="88"/>
      <c r="F69" s="88"/>
      <c r="G69" s="88"/>
    </row>
    <row r="70" spans="2:7" ht="18.75" customHeight="1" x14ac:dyDescent="0.2">
      <c r="B70" s="8" t="s">
        <v>193</v>
      </c>
      <c r="C70" s="14" t="s">
        <v>30</v>
      </c>
      <c r="D70" s="36">
        <f>IFERROR('📋 Inputs'!E64*'📋 Inputs'!D8,0)</f>
        <v>22500</v>
      </c>
      <c r="E70" s="37" t="str">
        <f>IF('📋 Inputs'!F64="","",'📋 Inputs'!F64)</f>
        <v/>
      </c>
      <c r="F70" s="38">
        <f>IF(E70&lt;&gt;"",E70,D70)</f>
        <v>22500</v>
      </c>
      <c r="G70" s="14" t="s">
        <v>142</v>
      </c>
    </row>
    <row r="71" spans="2:7" ht="18.75" customHeight="1" x14ac:dyDescent="0.2">
      <c r="B71" s="8" t="s">
        <v>194</v>
      </c>
      <c r="C71" s="14" t="s">
        <v>30</v>
      </c>
      <c r="D71" s="36">
        <f>IFERROR('📋 Inputs'!E65*'📋 Inputs'!D8,0)</f>
        <v>112500</v>
      </c>
      <c r="E71" s="37" t="str">
        <f>IF('📋 Inputs'!F65="","",'📋 Inputs'!F65)</f>
        <v/>
      </c>
      <c r="F71" s="38">
        <f>IF(E71&lt;&gt;"",E71,D71)</f>
        <v>112500</v>
      </c>
      <c r="G71" s="14" t="s">
        <v>142</v>
      </c>
    </row>
    <row r="72" spans="2:7" ht="19.5" customHeight="1" x14ac:dyDescent="0.2">
      <c r="B72" s="39" t="s">
        <v>195</v>
      </c>
      <c r="C72" s="40"/>
      <c r="D72" s="40"/>
      <c r="E72" s="40"/>
      <c r="F72" s="41">
        <f>SUM(F70,F71)</f>
        <v>135000</v>
      </c>
      <c r="G72" s="40"/>
    </row>
    <row r="73" spans="2:7" ht="4.5" customHeight="1" x14ac:dyDescent="0.2"/>
    <row r="74" spans="2:7" ht="18" customHeight="1" x14ac:dyDescent="0.2">
      <c r="B74" s="90" t="s">
        <v>77</v>
      </c>
      <c r="C74" s="88"/>
      <c r="D74" s="88"/>
      <c r="E74" s="88"/>
      <c r="F74" s="88"/>
      <c r="G74" s="88"/>
    </row>
    <row r="75" spans="2:7" ht="18.75" customHeight="1" x14ac:dyDescent="0.2">
      <c r="B75" s="8" t="s">
        <v>196</v>
      </c>
      <c r="C75" s="14" t="s">
        <v>35</v>
      </c>
      <c r="D75" s="36">
        <f>IFERROR('📋 Inputs'!E68,0)</f>
        <v>72</v>
      </c>
      <c r="E75" s="37" t="str">
        <f>IF('📋 Inputs'!F68="","",'📋 Inputs'!F68)</f>
        <v/>
      </c>
      <c r="F75" s="38">
        <f t="shared" ref="F75:F84" si="2">IF(E75&lt;&gt;"",E75,D75)</f>
        <v>72</v>
      </c>
      <c r="G75" s="14" t="s">
        <v>142</v>
      </c>
    </row>
    <row r="76" spans="2:7" ht="18.75" customHeight="1" x14ac:dyDescent="0.2">
      <c r="B76" s="8" t="s">
        <v>197</v>
      </c>
      <c r="C76" s="14" t="s">
        <v>35</v>
      </c>
      <c r="D76" s="36">
        <f>IFERROR('📋 Inputs'!E69,0)</f>
        <v>40</v>
      </c>
      <c r="E76" s="37" t="str">
        <f>IF('📋 Inputs'!F69="","",'📋 Inputs'!F69)</f>
        <v/>
      </c>
      <c r="F76" s="38">
        <f t="shared" si="2"/>
        <v>40</v>
      </c>
      <c r="G76" s="14" t="s">
        <v>142</v>
      </c>
    </row>
    <row r="77" spans="2:7" ht="18.75" customHeight="1" x14ac:dyDescent="0.2">
      <c r="B77" s="8" t="s">
        <v>198</v>
      </c>
      <c r="C77" s="14" t="s">
        <v>30</v>
      </c>
      <c r="D77" s="36">
        <f>IFERROR('📋 Inputs'!E70*'📋 Inputs'!D8,0)</f>
        <v>354</v>
      </c>
      <c r="E77" s="37" t="str">
        <f>IF('📋 Inputs'!F70="","",'📋 Inputs'!F70)</f>
        <v/>
      </c>
      <c r="F77" s="38">
        <f t="shared" si="2"/>
        <v>354</v>
      </c>
      <c r="G77" s="14" t="s">
        <v>142</v>
      </c>
    </row>
    <row r="78" spans="2:7" ht="18.75" customHeight="1" x14ac:dyDescent="0.2">
      <c r="B78" s="8" t="s">
        <v>199</v>
      </c>
      <c r="C78" s="14" t="s">
        <v>46</v>
      </c>
      <c r="D78" s="36">
        <f>IFERROR('📋 Inputs'!E71,0)</f>
        <v>250</v>
      </c>
      <c r="E78" s="37" t="str">
        <f>IF('📋 Inputs'!F71="","",'📋 Inputs'!F71)</f>
        <v/>
      </c>
      <c r="F78" s="38">
        <f t="shared" si="2"/>
        <v>250</v>
      </c>
      <c r="G78" s="14" t="s">
        <v>142</v>
      </c>
    </row>
    <row r="79" spans="2:7" ht="18.75" customHeight="1" x14ac:dyDescent="0.2">
      <c r="B79" s="8" t="s">
        <v>200</v>
      </c>
      <c r="C79" s="14" t="s">
        <v>46</v>
      </c>
      <c r="D79" s="36">
        <f>IFERROR('📋 Inputs'!E72,0)</f>
        <v>15</v>
      </c>
      <c r="E79" s="37" t="str">
        <f>IF('📋 Inputs'!F72="","",'📋 Inputs'!F72)</f>
        <v/>
      </c>
      <c r="F79" s="38">
        <f t="shared" si="2"/>
        <v>15</v>
      </c>
      <c r="G79" s="14" t="s">
        <v>142</v>
      </c>
    </row>
    <row r="80" spans="2:7" ht="18.75" customHeight="1" x14ac:dyDescent="0.2">
      <c r="B80" s="8" t="s">
        <v>201</v>
      </c>
      <c r="C80" s="14" t="s">
        <v>46</v>
      </c>
      <c r="D80" s="36">
        <f>IFERROR('📋 Inputs'!E73,0)</f>
        <v>600</v>
      </c>
      <c r="E80" s="37" t="str">
        <f>IF('📋 Inputs'!F73="","",'📋 Inputs'!F73)</f>
        <v/>
      </c>
      <c r="F80" s="38">
        <f t="shared" si="2"/>
        <v>600</v>
      </c>
      <c r="G80" s="14" t="s">
        <v>142</v>
      </c>
    </row>
    <row r="81" spans="2:7" ht="18.75" customHeight="1" x14ac:dyDescent="0.2">
      <c r="B81" s="8" t="s">
        <v>202</v>
      </c>
      <c r="C81" s="14" t="s">
        <v>46</v>
      </c>
      <c r="D81" s="36">
        <f>IFERROR('📋 Inputs'!E74,0)</f>
        <v>80</v>
      </c>
      <c r="E81" s="37" t="str">
        <f>IF('📋 Inputs'!F74="","",'📋 Inputs'!F74)</f>
        <v/>
      </c>
      <c r="F81" s="38">
        <f t="shared" si="2"/>
        <v>80</v>
      </c>
      <c r="G81" s="14" t="s">
        <v>142</v>
      </c>
    </row>
    <row r="82" spans="2:7" ht="18.75" customHeight="1" x14ac:dyDescent="0.2">
      <c r="B82" s="8" t="s">
        <v>203</v>
      </c>
      <c r="C82" s="14" t="s">
        <v>46</v>
      </c>
      <c r="D82" s="36">
        <f>IFERROR('📋 Inputs'!E75,0)</f>
        <v>60</v>
      </c>
      <c r="E82" s="37" t="str">
        <f>IF('📋 Inputs'!F75="","",'📋 Inputs'!F75)</f>
        <v/>
      </c>
      <c r="F82" s="38">
        <f t="shared" si="2"/>
        <v>60</v>
      </c>
      <c r="G82" s="14" t="s">
        <v>142</v>
      </c>
    </row>
    <row r="83" spans="2:7" ht="18.75" customHeight="1" x14ac:dyDescent="0.2">
      <c r="B83" s="8" t="s">
        <v>204</v>
      </c>
      <c r="C83" s="14" t="s">
        <v>46</v>
      </c>
      <c r="D83" s="36">
        <f>IFERROR('📋 Inputs'!E76,0)</f>
        <v>100</v>
      </c>
      <c r="E83" s="37" t="str">
        <f>IF('📋 Inputs'!F76="","",'📋 Inputs'!F76)</f>
        <v/>
      </c>
      <c r="F83" s="38">
        <f t="shared" si="2"/>
        <v>100</v>
      </c>
      <c r="G83" s="14" t="s">
        <v>142</v>
      </c>
    </row>
    <row r="84" spans="2:7" ht="18.75" customHeight="1" x14ac:dyDescent="0.2">
      <c r="B84" s="8" t="s">
        <v>205</v>
      </c>
      <c r="C84" s="14" t="s">
        <v>46</v>
      </c>
      <c r="D84" s="36">
        <f>IFERROR('📋 Inputs'!E77,0)</f>
        <v>150</v>
      </c>
      <c r="E84" s="37" t="str">
        <f>IF('📋 Inputs'!F77="","",'📋 Inputs'!F77)</f>
        <v/>
      </c>
      <c r="F84" s="38">
        <f t="shared" si="2"/>
        <v>150</v>
      </c>
      <c r="G84" s="14" t="s">
        <v>142</v>
      </c>
    </row>
    <row r="85" spans="2:7" ht="19.5" customHeight="1" x14ac:dyDescent="0.2">
      <c r="B85" s="39" t="s">
        <v>206</v>
      </c>
      <c r="C85" s="40"/>
      <c r="D85" s="40"/>
      <c r="E85" s="40"/>
      <c r="F85" s="41">
        <f>SUM(F75,F76,F77,F78,F79,F80,F81,F82,F83,F84)</f>
        <v>1721</v>
      </c>
      <c r="G85" s="40"/>
    </row>
    <row r="86" spans="2:7" ht="4.5" customHeight="1" x14ac:dyDescent="0.2"/>
    <row r="87" spans="2:7" ht="18" customHeight="1" x14ac:dyDescent="0.2">
      <c r="B87" s="90" t="s">
        <v>88</v>
      </c>
      <c r="C87" s="88"/>
      <c r="D87" s="88"/>
      <c r="E87" s="88"/>
      <c r="F87" s="88"/>
      <c r="G87" s="88"/>
    </row>
    <row r="88" spans="2:7" ht="18.75" customHeight="1" x14ac:dyDescent="0.2">
      <c r="B88" s="8" t="s">
        <v>207</v>
      </c>
      <c r="C88" s="14" t="s">
        <v>208</v>
      </c>
      <c r="D88" s="36">
        <f>IFERROR('📋 Inputs'!E80*'📋 Inputs'!D8,0)</f>
        <v>6375</v>
      </c>
      <c r="E88" s="37" t="str">
        <f>IF('📋 Inputs'!F80="","",'📋 Inputs'!F80)</f>
        <v/>
      </c>
      <c r="F88" s="38">
        <f t="shared" ref="F88:F102" si="3">IF(E88&lt;&gt;"",E88,D88)</f>
        <v>6375</v>
      </c>
      <c r="G88" s="14" t="s">
        <v>142</v>
      </c>
    </row>
    <row r="89" spans="2:7" ht="18.75" customHeight="1" x14ac:dyDescent="0.2">
      <c r="B89" s="8" t="s">
        <v>209</v>
      </c>
      <c r="C89" s="14" t="s">
        <v>208</v>
      </c>
      <c r="D89" s="36">
        <f>IFERROR('📋 Inputs'!E81*'📋 Inputs'!D8,0)</f>
        <v>3375</v>
      </c>
      <c r="E89" s="37" t="str">
        <f>IF('📋 Inputs'!F81="","",'📋 Inputs'!F81)</f>
        <v/>
      </c>
      <c r="F89" s="38">
        <f t="shared" si="3"/>
        <v>3375</v>
      </c>
      <c r="G89" s="14" t="s">
        <v>142</v>
      </c>
    </row>
    <row r="90" spans="2:7" ht="18.75" customHeight="1" x14ac:dyDescent="0.2">
      <c r="B90" s="8" t="s">
        <v>210</v>
      </c>
      <c r="C90" s="14" t="s">
        <v>35</v>
      </c>
      <c r="D90" s="36">
        <f>IFERROR('📋 Inputs'!E82,0)</f>
        <v>53.98</v>
      </c>
      <c r="E90" s="37" t="str">
        <f>IF('📋 Inputs'!F82="","",'📋 Inputs'!F82)</f>
        <v/>
      </c>
      <c r="F90" s="38">
        <f t="shared" si="3"/>
        <v>53.98</v>
      </c>
      <c r="G90" s="14" t="s">
        <v>142</v>
      </c>
    </row>
    <row r="91" spans="2:7" ht="18.75" customHeight="1" x14ac:dyDescent="0.2">
      <c r="B91" s="8" t="s">
        <v>211</v>
      </c>
      <c r="C91" s="14" t="s">
        <v>35</v>
      </c>
      <c r="D91" s="36">
        <f>IFERROR('📋 Inputs'!E83,0)</f>
        <v>42</v>
      </c>
      <c r="E91" s="37" t="str">
        <f>IF('📋 Inputs'!F83="","",'📋 Inputs'!F83)</f>
        <v/>
      </c>
      <c r="F91" s="38">
        <f t="shared" si="3"/>
        <v>42</v>
      </c>
      <c r="G91" s="14" t="s">
        <v>142</v>
      </c>
    </row>
    <row r="92" spans="2:7" ht="18.75" customHeight="1" x14ac:dyDescent="0.2">
      <c r="B92" s="8" t="s">
        <v>212</v>
      </c>
      <c r="C92" s="14" t="s">
        <v>35</v>
      </c>
      <c r="D92" s="36">
        <f>IFERROR('📋 Inputs'!E84,0)</f>
        <v>115.96</v>
      </c>
      <c r="E92" s="37" t="str">
        <f>IF('📋 Inputs'!F84="","",'📋 Inputs'!F84)</f>
        <v/>
      </c>
      <c r="F92" s="38">
        <f t="shared" si="3"/>
        <v>115.96</v>
      </c>
      <c r="G92" s="14" t="s">
        <v>142</v>
      </c>
    </row>
    <row r="93" spans="2:7" ht="18.75" customHeight="1" x14ac:dyDescent="0.2">
      <c r="B93" s="8" t="s">
        <v>213</v>
      </c>
      <c r="C93" s="14" t="s">
        <v>35</v>
      </c>
      <c r="D93" s="36">
        <f>IFERROR('📋 Inputs'!E85,0)</f>
        <v>167</v>
      </c>
      <c r="E93" s="37" t="str">
        <f>IF('📋 Inputs'!F85="","",'📋 Inputs'!F85)</f>
        <v/>
      </c>
      <c r="F93" s="38">
        <f t="shared" si="3"/>
        <v>167</v>
      </c>
      <c r="G93" s="14" t="s">
        <v>142</v>
      </c>
    </row>
    <row r="94" spans="2:7" ht="18.75" customHeight="1" x14ac:dyDescent="0.2">
      <c r="B94" s="8" t="s">
        <v>214</v>
      </c>
      <c r="C94" s="14" t="s">
        <v>30</v>
      </c>
      <c r="D94" s="36">
        <f>IFERROR('📋 Inputs'!E86*'📋 Inputs'!D8,0)</f>
        <v>315</v>
      </c>
      <c r="E94" s="37" t="str">
        <f>IF('📋 Inputs'!F86="","",'📋 Inputs'!F86)</f>
        <v/>
      </c>
      <c r="F94" s="38">
        <f t="shared" si="3"/>
        <v>315</v>
      </c>
      <c r="G94" s="14" t="s">
        <v>142</v>
      </c>
    </row>
    <row r="95" spans="2:7" ht="18.75" customHeight="1" x14ac:dyDescent="0.2">
      <c r="B95" s="8" t="s">
        <v>215</v>
      </c>
      <c r="C95" s="14" t="s">
        <v>35</v>
      </c>
      <c r="D95" s="36">
        <f>IFERROR('📋 Inputs'!E87,0)</f>
        <v>74</v>
      </c>
      <c r="E95" s="37" t="str">
        <f>IF('📋 Inputs'!F87="","",'📋 Inputs'!F87)</f>
        <v/>
      </c>
      <c r="F95" s="38">
        <f t="shared" si="3"/>
        <v>74</v>
      </c>
      <c r="G95" s="14" t="s">
        <v>142</v>
      </c>
    </row>
    <row r="96" spans="2:7" ht="18.75" customHeight="1" x14ac:dyDescent="0.2">
      <c r="B96" s="8" t="s">
        <v>216</v>
      </c>
      <c r="C96" s="14" t="s">
        <v>35</v>
      </c>
      <c r="D96" s="36">
        <f>IFERROR('📋 Inputs'!E88,0)</f>
        <v>45</v>
      </c>
      <c r="E96" s="37" t="str">
        <f>IF('📋 Inputs'!F88="","",'📋 Inputs'!F88)</f>
        <v/>
      </c>
      <c r="F96" s="38">
        <f t="shared" si="3"/>
        <v>45</v>
      </c>
      <c r="G96" s="14" t="s">
        <v>142</v>
      </c>
    </row>
    <row r="97" spans="2:7" ht="18.75" customHeight="1" x14ac:dyDescent="0.2">
      <c r="B97" s="8" t="s">
        <v>217</v>
      </c>
      <c r="C97" s="14" t="s">
        <v>30</v>
      </c>
      <c r="D97" s="36">
        <f>IFERROR('📋 Inputs'!E89*'📋 Inputs'!D8,0)</f>
        <v>780</v>
      </c>
      <c r="E97" s="37" t="str">
        <f>IF('📋 Inputs'!F89="","",'📋 Inputs'!F89)</f>
        <v/>
      </c>
      <c r="F97" s="38">
        <f t="shared" si="3"/>
        <v>780</v>
      </c>
      <c r="G97" s="14" t="s">
        <v>142</v>
      </c>
    </row>
    <row r="98" spans="2:7" ht="18.75" customHeight="1" x14ac:dyDescent="0.2">
      <c r="B98" s="8" t="s">
        <v>218</v>
      </c>
      <c r="C98" s="14" t="s">
        <v>30</v>
      </c>
      <c r="D98" s="36">
        <f>IFERROR('📋 Inputs'!E90*'📋 Inputs'!D8,0)</f>
        <v>1560</v>
      </c>
      <c r="E98" s="37" t="str">
        <f>IF('📋 Inputs'!F90="","",'📋 Inputs'!F90)</f>
        <v/>
      </c>
      <c r="F98" s="38">
        <f t="shared" si="3"/>
        <v>1560</v>
      </c>
      <c r="G98" s="14" t="s">
        <v>142</v>
      </c>
    </row>
    <row r="99" spans="2:7" ht="18.75" customHeight="1" x14ac:dyDescent="0.2">
      <c r="B99" s="8" t="s">
        <v>219</v>
      </c>
      <c r="C99" s="14" t="s">
        <v>46</v>
      </c>
      <c r="D99" s="36">
        <f>IFERROR('📋 Inputs'!E91,0)</f>
        <v>1500</v>
      </c>
      <c r="E99" s="37" t="str">
        <f>IF('📋 Inputs'!F91="","",'📋 Inputs'!F91)</f>
        <v/>
      </c>
      <c r="F99" s="38">
        <f t="shared" si="3"/>
        <v>1500</v>
      </c>
      <c r="G99" s="14" t="s">
        <v>142</v>
      </c>
    </row>
    <row r="100" spans="2:7" ht="18.75" customHeight="1" x14ac:dyDescent="0.2">
      <c r="B100" s="8" t="s">
        <v>220</v>
      </c>
      <c r="C100" s="14" t="s">
        <v>46</v>
      </c>
      <c r="D100" s="36">
        <f>IFERROR('📋 Inputs'!E92,0)</f>
        <v>42</v>
      </c>
      <c r="E100" s="37" t="str">
        <f>IF('📋 Inputs'!F92="","",'📋 Inputs'!F92)</f>
        <v/>
      </c>
      <c r="F100" s="38">
        <f t="shared" si="3"/>
        <v>42</v>
      </c>
      <c r="G100" s="14" t="s">
        <v>142</v>
      </c>
    </row>
    <row r="101" spans="2:7" ht="18.75" customHeight="1" x14ac:dyDescent="0.2">
      <c r="B101" s="8" t="s">
        <v>221</v>
      </c>
      <c r="C101" s="14" t="s">
        <v>35</v>
      </c>
      <c r="D101" s="36">
        <f>IFERROR('📋 Inputs'!E93,0)</f>
        <v>80</v>
      </c>
      <c r="E101" s="37" t="str">
        <f>IF('📋 Inputs'!F93="","",'📋 Inputs'!F93)</f>
        <v/>
      </c>
      <c r="F101" s="38">
        <f t="shared" si="3"/>
        <v>80</v>
      </c>
      <c r="G101" s="14" t="s">
        <v>142</v>
      </c>
    </row>
    <row r="102" spans="2:7" ht="18.75" customHeight="1" x14ac:dyDescent="0.2">
      <c r="B102" s="8" t="s">
        <v>222</v>
      </c>
      <c r="C102" s="14" t="s">
        <v>35</v>
      </c>
      <c r="D102" s="36">
        <f>IFERROR('📋 Inputs'!E94,0)</f>
        <v>20</v>
      </c>
      <c r="E102" s="37" t="str">
        <f>IF('📋 Inputs'!F94="","",'📋 Inputs'!F94)</f>
        <v/>
      </c>
      <c r="F102" s="38">
        <f t="shared" si="3"/>
        <v>20</v>
      </c>
      <c r="G102" s="14" t="s">
        <v>142</v>
      </c>
    </row>
    <row r="103" spans="2:7" ht="19.5" customHeight="1" x14ac:dyDescent="0.2">
      <c r="B103" s="39" t="s">
        <v>223</v>
      </c>
      <c r="C103" s="40"/>
      <c r="D103" s="40"/>
      <c r="E103" s="40"/>
      <c r="F103" s="41">
        <f>SUM(F88,F89,F90,F91,F92,F93,F94,F95,F96,F97,F98,F99,F100,F101,F102)</f>
        <v>14544.939999999999</v>
      </c>
      <c r="G103" s="40"/>
    </row>
    <row r="104" spans="2:7" ht="4.5" customHeight="1" x14ac:dyDescent="0.2"/>
    <row r="105" spans="2:7" ht="18" customHeight="1" x14ac:dyDescent="0.2">
      <c r="B105" s="90" t="s">
        <v>104</v>
      </c>
      <c r="C105" s="88"/>
      <c r="D105" s="88"/>
      <c r="E105" s="88"/>
      <c r="F105" s="88"/>
      <c r="G105" s="88"/>
    </row>
    <row r="106" spans="2:7" ht="18.75" customHeight="1" x14ac:dyDescent="0.2">
      <c r="B106" s="8" t="s">
        <v>224</v>
      </c>
      <c r="C106" s="14" t="s">
        <v>35</v>
      </c>
      <c r="D106" s="36">
        <f>IFERROR('📋 Inputs'!E97,0)</f>
        <v>66</v>
      </c>
      <c r="E106" s="37" t="str">
        <f>IF('📋 Inputs'!F97="","",'📋 Inputs'!F97)</f>
        <v/>
      </c>
      <c r="F106" s="38">
        <f t="shared" ref="F106:F112" si="4">IF(E106&lt;&gt;"",E106,D106)</f>
        <v>66</v>
      </c>
      <c r="G106" s="14" t="s">
        <v>142</v>
      </c>
    </row>
    <row r="107" spans="2:7" ht="18.75" customHeight="1" x14ac:dyDescent="0.2">
      <c r="B107" s="8" t="s">
        <v>225</v>
      </c>
      <c r="C107" s="14" t="s">
        <v>35</v>
      </c>
      <c r="D107" s="36">
        <f>IFERROR('📋 Inputs'!E98,0)</f>
        <v>174</v>
      </c>
      <c r="E107" s="37" t="str">
        <f>IF('📋 Inputs'!F98="","",'📋 Inputs'!F98)</f>
        <v/>
      </c>
      <c r="F107" s="38">
        <f t="shared" si="4"/>
        <v>174</v>
      </c>
      <c r="G107" s="14" t="s">
        <v>142</v>
      </c>
    </row>
    <row r="108" spans="2:7" ht="18.75" customHeight="1" x14ac:dyDescent="0.2">
      <c r="B108" s="22" t="s">
        <v>226</v>
      </c>
      <c r="C108" s="23" t="s">
        <v>35</v>
      </c>
      <c r="D108" s="36">
        <f>IFERROR('📋 Inputs'!E99,0)</f>
        <v>52</v>
      </c>
      <c r="E108" s="44" t="str">
        <f>IF('📋 Inputs'!F99="","",'📋 Inputs'!F99)</f>
        <v/>
      </c>
      <c r="F108" s="45">
        <f t="shared" si="4"/>
        <v>52</v>
      </c>
      <c r="G108" s="23" t="s">
        <v>158</v>
      </c>
    </row>
    <row r="109" spans="2:7" ht="18.75" customHeight="1" x14ac:dyDescent="0.2">
      <c r="B109" s="22" t="s">
        <v>227</v>
      </c>
      <c r="C109" s="23" t="s">
        <v>35</v>
      </c>
      <c r="D109" s="36">
        <f>IFERROR('📋 Inputs'!E100,0)</f>
        <v>132</v>
      </c>
      <c r="E109" s="44" t="str">
        <f>IF('📋 Inputs'!F100="","",'📋 Inputs'!F100)</f>
        <v/>
      </c>
      <c r="F109" s="45">
        <f t="shared" si="4"/>
        <v>132</v>
      </c>
      <c r="G109" s="23" t="s">
        <v>158</v>
      </c>
    </row>
    <row r="110" spans="2:7" ht="18.75" customHeight="1" x14ac:dyDescent="0.2">
      <c r="B110" s="8" t="s">
        <v>228</v>
      </c>
      <c r="C110" s="14" t="s">
        <v>46</v>
      </c>
      <c r="D110" s="36">
        <f>IFERROR('📋 Inputs'!E101,0)</f>
        <v>50</v>
      </c>
      <c r="E110" s="37" t="str">
        <f>IF('📋 Inputs'!F100="","",'📋 Inputs'!F100)</f>
        <v/>
      </c>
      <c r="F110" s="38">
        <f t="shared" si="4"/>
        <v>50</v>
      </c>
      <c r="G110" s="14" t="s">
        <v>142</v>
      </c>
    </row>
    <row r="111" spans="2:7" ht="18.75" customHeight="1" x14ac:dyDescent="0.2">
      <c r="B111" s="8" t="s">
        <v>229</v>
      </c>
      <c r="C111" s="14" t="s">
        <v>46</v>
      </c>
      <c r="D111" s="36">
        <f>IFERROR('📋 Inputs'!E102,0)</f>
        <v>70</v>
      </c>
      <c r="E111" s="37" t="str">
        <f>IF('📋 Inputs'!F102="","",'📋 Inputs'!F102)</f>
        <v/>
      </c>
      <c r="F111" s="38">
        <f t="shared" si="4"/>
        <v>70</v>
      </c>
      <c r="G111" s="14" t="s">
        <v>142</v>
      </c>
    </row>
    <row r="112" spans="2:7" ht="18.75" customHeight="1" x14ac:dyDescent="0.2">
      <c r="B112" s="8" t="s">
        <v>230</v>
      </c>
      <c r="C112" s="14" t="s">
        <v>35</v>
      </c>
      <c r="D112" s="36">
        <f>IFERROR('📋 Inputs'!E103,0)</f>
        <v>400</v>
      </c>
      <c r="E112" s="37" t="str">
        <f>IF('📋 Inputs'!F103="","",'📋 Inputs'!F103)</f>
        <v/>
      </c>
      <c r="F112" s="38">
        <f t="shared" si="4"/>
        <v>400</v>
      </c>
      <c r="G112" s="14" t="s">
        <v>142</v>
      </c>
    </row>
    <row r="113" spans="2:7" ht="19.5" customHeight="1" x14ac:dyDescent="0.2">
      <c r="B113" s="39" t="s">
        <v>231</v>
      </c>
      <c r="C113" s="40"/>
      <c r="D113" s="40"/>
      <c r="E113" s="40"/>
      <c r="F113" s="41">
        <f>SUM(F106,F107,F108,F109,F110,F111,F112)</f>
        <v>944</v>
      </c>
      <c r="G113" s="40"/>
    </row>
    <row r="114" spans="2:7" ht="4.5" customHeight="1" x14ac:dyDescent="0.2"/>
    <row r="115" spans="2:7" ht="18" customHeight="1" x14ac:dyDescent="0.2">
      <c r="B115" s="90" t="s">
        <v>112</v>
      </c>
      <c r="C115" s="88"/>
      <c r="D115" s="88"/>
      <c r="E115" s="88"/>
      <c r="F115" s="88"/>
      <c r="G115" s="88"/>
    </row>
    <row r="116" spans="2:7" ht="18.75" customHeight="1" x14ac:dyDescent="0.2">
      <c r="B116" s="8" t="s">
        <v>232</v>
      </c>
      <c r="C116" s="14" t="s">
        <v>46</v>
      </c>
      <c r="D116" s="36">
        <f>IFERROR('📋 Inputs'!E106,0)</f>
        <v>400</v>
      </c>
      <c r="E116" s="37" t="str">
        <f>IF('📋 Inputs'!F106="","",'📋 Inputs'!F106)</f>
        <v/>
      </c>
      <c r="F116" s="38">
        <f>IF(E116&lt;&gt;"",E116,D116)</f>
        <v>400</v>
      </c>
      <c r="G116" s="14" t="s">
        <v>142</v>
      </c>
    </row>
    <row r="117" spans="2:7" ht="19.5" customHeight="1" x14ac:dyDescent="0.2">
      <c r="B117" s="39" t="s">
        <v>233</v>
      </c>
      <c r="C117" s="40"/>
      <c r="D117" s="40"/>
      <c r="E117" s="40"/>
      <c r="F117" s="41">
        <f>SUM(F116)</f>
        <v>400</v>
      </c>
      <c r="G117" s="40"/>
    </row>
    <row r="118" spans="2:7" ht="4.5" customHeight="1" x14ac:dyDescent="0.2"/>
    <row r="119" spans="2:7" ht="18" customHeight="1" x14ac:dyDescent="0.2">
      <c r="B119" s="90" t="s">
        <v>114</v>
      </c>
      <c r="C119" s="88"/>
      <c r="D119" s="88"/>
      <c r="E119" s="88"/>
      <c r="F119" s="88"/>
      <c r="G119" s="88"/>
    </row>
    <row r="120" spans="2:7" ht="18.75" customHeight="1" x14ac:dyDescent="0.2">
      <c r="B120" s="8" t="s">
        <v>234</v>
      </c>
      <c r="C120" s="14" t="s">
        <v>35</v>
      </c>
      <c r="D120" s="36">
        <f>IFERROR('📋 Inputs'!E109,0)</f>
        <v>1800</v>
      </c>
      <c r="E120" s="37" t="str">
        <f>IF('📋 Inputs'!F109="","",'📋 Inputs'!F109)</f>
        <v/>
      </c>
      <c r="F120" s="38">
        <f>IF(E120&lt;&gt;"",E120,D120)</f>
        <v>1800</v>
      </c>
      <c r="G120" s="14" t="s">
        <v>142</v>
      </c>
    </row>
    <row r="121" spans="2:7" ht="18.75" customHeight="1" x14ac:dyDescent="0.2">
      <c r="B121" s="8" t="s">
        <v>235</v>
      </c>
      <c r="C121" s="14" t="s">
        <v>35</v>
      </c>
      <c r="D121" s="36">
        <f>IFERROR('📋 Inputs'!E110,0)</f>
        <v>420</v>
      </c>
      <c r="E121" s="37" t="str">
        <f>IF('📋 Inputs'!F110="","",'📋 Inputs'!F110)</f>
        <v/>
      </c>
      <c r="F121" s="38">
        <f>IF(E121&lt;&gt;"",E121,D121)</f>
        <v>420</v>
      </c>
      <c r="G121" s="14" t="s">
        <v>142</v>
      </c>
    </row>
    <row r="122" spans="2:7" ht="18.75" customHeight="1" x14ac:dyDescent="0.2">
      <c r="B122" s="8" t="s">
        <v>236</v>
      </c>
      <c r="C122" s="14" t="s">
        <v>35</v>
      </c>
      <c r="D122" s="36">
        <f>IFERROR('📋 Inputs'!E111,0)</f>
        <v>600</v>
      </c>
      <c r="E122" s="37" t="str">
        <f>IF('📋 Inputs'!F111="","",'📋 Inputs'!F111)</f>
        <v/>
      </c>
      <c r="F122" s="38">
        <f>IF(E122&lt;&gt;"",E122,D122)</f>
        <v>600</v>
      </c>
      <c r="G122" s="14" t="s">
        <v>142</v>
      </c>
    </row>
    <row r="123" spans="2:7" ht="19.5" customHeight="1" x14ac:dyDescent="0.2">
      <c r="B123" s="39" t="s">
        <v>237</v>
      </c>
      <c r="C123" s="40"/>
      <c r="D123" s="40"/>
      <c r="E123" s="40"/>
      <c r="F123" s="41">
        <f>SUM(F120,F121,F122)</f>
        <v>2820</v>
      </c>
      <c r="G123" s="40"/>
    </row>
    <row r="124" spans="2:7" ht="4.5" customHeight="1" x14ac:dyDescent="0.2"/>
    <row r="125" spans="2:7" ht="18" customHeight="1" x14ac:dyDescent="0.2">
      <c r="B125" s="90" t="s">
        <v>118</v>
      </c>
      <c r="C125" s="88"/>
      <c r="D125" s="88"/>
      <c r="E125" s="88"/>
      <c r="F125" s="88"/>
      <c r="G125" s="88"/>
    </row>
    <row r="126" spans="2:7" ht="18.75" customHeight="1" x14ac:dyDescent="0.2">
      <c r="B126" s="8" t="s">
        <v>238</v>
      </c>
      <c r="C126" s="14" t="s">
        <v>30</v>
      </c>
      <c r="D126" s="36">
        <f>IFERROR('📋 Inputs'!E114*'📋 Inputs'!D8,0)</f>
        <v>37500</v>
      </c>
      <c r="E126" s="37" t="str">
        <f>IF('📋 Inputs'!F114="","",'📋 Inputs'!F114)</f>
        <v/>
      </c>
      <c r="F126" s="38">
        <f>IF(E126&lt;&gt;"",E126,D126)</f>
        <v>37500</v>
      </c>
      <c r="G126" s="14" t="s">
        <v>142</v>
      </c>
    </row>
    <row r="127" spans="2:7" ht="18.75" customHeight="1" x14ac:dyDescent="0.2">
      <c r="B127" s="8" t="s">
        <v>239</v>
      </c>
      <c r="C127" s="14" t="s">
        <v>35</v>
      </c>
      <c r="D127" s="36">
        <f>IFERROR('📋 Inputs'!E115,0)</f>
        <v>600</v>
      </c>
      <c r="E127" s="37" t="str">
        <f>IF('📋 Inputs'!F115="","",'📋 Inputs'!F115)</f>
        <v/>
      </c>
      <c r="F127" s="38">
        <f>IF(E127&lt;&gt;"",E127,D127)</f>
        <v>600</v>
      </c>
      <c r="G127" s="14" t="s">
        <v>142</v>
      </c>
    </row>
    <row r="128" spans="2:7" ht="18.75" customHeight="1" x14ac:dyDescent="0.2">
      <c r="B128" s="8" t="s">
        <v>240</v>
      </c>
      <c r="C128" s="14" t="s">
        <v>35</v>
      </c>
      <c r="D128" s="36">
        <f>IFERROR('📋 Inputs'!E116,0)</f>
        <v>250</v>
      </c>
      <c r="E128" s="37" t="str">
        <f>IF('📋 Inputs'!F116="","",'📋 Inputs'!F116)</f>
        <v/>
      </c>
      <c r="F128" s="38">
        <f>IF(E128&lt;&gt;"",E128,D128)</f>
        <v>250</v>
      </c>
      <c r="G128" s="14" t="s">
        <v>142</v>
      </c>
    </row>
    <row r="129" spans="2:7" ht="18.75" customHeight="1" x14ac:dyDescent="0.2">
      <c r="B129" s="8" t="s">
        <v>241</v>
      </c>
      <c r="C129" s="14" t="s">
        <v>46</v>
      </c>
      <c r="D129" s="36">
        <f>IFERROR('📋 Inputs'!E117,0)</f>
        <v>25000</v>
      </c>
      <c r="E129" s="37" t="str">
        <f>IF('📋 Inputs'!F117="","",'📋 Inputs'!F117)</f>
        <v/>
      </c>
      <c r="F129" s="38">
        <f>IF(E129&lt;&gt;"",E129,D129)</f>
        <v>25000</v>
      </c>
      <c r="G129" s="14" t="s">
        <v>142</v>
      </c>
    </row>
    <row r="130" spans="2:7" ht="19.5" customHeight="1" x14ac:dyDescent="0.2">
      <c r="B130" s="39" t="s">
        <v>242</v>
      </c>
      <c r="C130" s="40"/>
      <c r="D130" s="40"/>
      <c r="E130" s="40"/>
      <c r="F130" s="41">
        <f>SUM(F126,F127,F128,F129)</f>
        <v>63350</v>
      </c>
      <c r="G130" s="40"/>
    </row>
    <row r="131" spans="2:7" ht="4.5" customHeight="1" x14ac:dyDescent="0.2"/>
    <row r="132" spans="2:7" ht="18" customHeight="1" x14ac:dyDescent="0.2">
      <c r="B132" s="90" t="s">
        <v>123</v>
      </c>
      <c r="C132" s="88"/>
      <c r="D132" s="88"/>
      <c r="E132" s="88"/>
      <c r="F132" s="88"/>
      <c r="G132" s="88"/>
    </row>
    <row r="133" spans="2:7" ht="18.75" customHeight="1" x14ac:dyDescent="0.2">
      <c r="B133" s="8" t="s">
        <v>243</v>
      </c>
      <c r="C133" s="14" t="s">
        <v>35</v>
      </c>
      <c r="D133" s="36">
        <v>112500</v>
      </c>
      <c r="E133" s="37" t="str">
        <f>IF('📋 Inputs'!F120="","",'📋 Inputs'!F120)</f>
        <v/>
      </c>
      <c r="F133" s="38">
        <f t="shared" ref="F133:F138" si="5">IF(E133&lt;&gt;"",E133,D133)</f>
        <v>112500</v>
      </c>
      <c r="G133" s="14" t="s">
        <v>142</v>
      </c>
    </row>
    <row r="134" spans="2:7" ht="18.75" customHeight="1" x14ac:dyDescent="0.2">
      <c r="B134" s="8" t="s">
        <v>244</v>
      </c>
      <c r="C134" s="14" t="s">
        <v>55</v>
      </c>
      <c r="D134" s="46">
        <f>IFERROR('📋 Inputs'!E121,0)</f>
        <v>0</v>
      </c>
      <c r="E134" s="37" t="str">
        <f>IF('📋 Inputs'!F121="","",'📋 Inputs'!F121)</f>
        <v/>
      </c>
      <c r="F134" s="47">
        <f t="shared" si="5"/>
        <v>0</v>
      </c>
      <c r="G134" s="14" t="s">
        <v>142</v>
      </c>
    </row>
    <row r="135" spans="2:7" ht="18.75" customHeight="1" x14ac:dyDescent="0.2">
      <c r="B135" s="8" t="s">
        <v>245</v>
      </c>
      <c r="C135" s="14" t="s">
        <v>55</v>
      </c>
      <c r="D135" s="46">
        <f>IFERROR('📋 Inputs'!E122,0)</f>
        <v>0</v>
      </c>
      <c r="E135" s="37" t="str">
        <f>IF('📋 Inputs'!F122="","",'📋 Inputs'!F122)</f>
        <v/>
      </c>
      <c r="F135" s="47">
        <f t="shared" si="5"/>
        <v>0</v>
      </c>
      <c r="G135" s="14" t="s">
        <v>142</v>
      </c>
    </row>
    <row r="136" spans="2:7" ht="18.75" customHeight="1" x14ac:dyDescent="0.2">
      <c r="B136" s="8" t="s">
        <v>246</v>
      </c>
      <c r="C136" s="14" t="s">
        <v>55</v>
      </c>
      <c r="D136" s="46">
        <f>IFERROR('📋 Inputs'!E123,0)</f>
        <v>0</v>
      </c>
      <c r="E136" s="37" t="str">
        <f>IF('📋 Inputs'!F123="","",'📋 Inputs'!F123)</f>
        <v/>
      </c>
      <c r="F136" s="47">
        <f t="shared" si="5"/>
        <v>0</v>
      </c>
      <c r="G136" s="14" t="s">
        <v>142</v>
      </c>
    </row>
    <row r="137" spans="2:7" ht="18.75" customHeight="1" x14ac:dyDescent="0.2">
      <c r="B137" s="8" t="s">
        <v>247</v>
      </c>
      <c r="C137" s="14" t="s">
        <v>55</v>
      </c>
      <c r="D137" s="46">
        <f>IFERROR('📋 Inputs'!E124,0)</f>
        <v>0</v>
      </c>
      <c r="E137" s="37" t="str">
        <f>IF('📋 Inputs'!F124="","",'📋 Inputs'!F124)</f>
        <v/>
      </c>
      <c r="F137" s="47">
        <f t="shared" si="5"/>
        <v>0</v>
      </c>
      <c r="G137" s="14" t="s">
        <v>142</v>
      </c>
    </row>
    <row r="138" spans="2:7" ht="18.75" customHeight="1" x14ac:dyDescent="0.2">
      <c r="B138" s="8" t="s">
        <v>248</v>
      </c>
      <c r="C138" s="14" t="s">
        <v>55</v>
      </c>
      <c r="D138" s="46">
        <f>IFERROR('📋 Inputs'!E125,0)</f>
        <v>0</v>
      </c>
      <c r="E138" s="37" t="str">
        <f>IF('📋 Inputs'!F125="","",'📋 Inputs'!F125)</f>
        <v/>
      </c>
      <c r="F138" s="47">
        <f t="shared" si="5"/>
        <v>0</v>
      </c>
      <c r="G138" s="14" t="s">
        <v>142</v>
      </c>
    </row>
    <row r="139" spans="2:7" ht="19.5" customHeight="1" x14ac:dyDescent="0.2">
      <c r="B139" s="39" t="s">
        <v>249</v>
      </c>
      <c r="C139" s="40"/>
      <c r="D139" s="40"/>
      <c r="E139" s="40"/>
      <c r="F139" s="41">
        <f>SUM(F133,F134,F135,F136,F137,F138)</f>
        <v>112500</v>
      </c>
      <c r="G139" s="40"/>
    </row>
    <row r="141" spans="2:7" ht="30" customHeight="1" x14ac:dyDescent="0.2">
      <c r="B141" s="96" t="s">
        <v>250</v>
      </c>
      <c r="C141" s="94"/>
      <c r="D141" s="94"/>
      <c r="E141" s="94"/>
      <c r="F141" s="50">
        <f>SUM(F17,F35,F43,F54,F61,F67,F72,F85,F103,F113,F117,F123,F130,F139)</f>
        <v>603608.33600000001</v>
      </c>
      <c r="G141" s="51"/>
    </row>
    <row r="142" spans="2:7" ht="21.75" customHeight="1" x14ac:dyDescent="0.2">
      <c r="B142" s="93" t="s">
        <v>251</v>
      </c>
      <c r="C142" s="94"/>
      <c r="D142" s="94"/>
      <c r="E142" s="95"/>
      <c r="F142" s="52">
        <f>IFERROR(F141/('📋 Inputs'!D6+'📋 Inputs'!D7),0)</f>
        <v>402.40555733333332</v>
      </c>
      <c r="G142" s="53"/>
    </row>
    <row r="143" spans="2:7" ht="15" customHeight="1" x14ac:dyDescent="0.2"/>
    <row r="144" spans="2:7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2" ht="15" customHeight="1" x14ac:dyDescent="0.2"/>
    <row r="153" ht="15" customHeight="1" x14ac:dyDescent="0.2"/>
  </sheetData>
  <sheetProtection algorithmName="SHA-512" hashValue="jT65viSv2jR06acvCPLSCcak+CNV6w/KO6kCLm7MmuqENzxJ5CA+EqXt1I1Iw8fd+rxBQLhuNnX/CGZ20Bc5lQ==" saltValue="R+NfI/eOPEn9RaOV7UB01g==" spinCount="100000" sheet="1" objects="1" scenarios="1"/>
  <mergeCells count="18">
    <mergeCell ref="B45:G45"/>
    <mergeCell ref="B63:G63"/>
    <mergeCell ref="B1:G1"/>
    <mergeCell ref="B8:G8"/>
    <mergeCell ref="B132:G132"/>
    <mergeCell ref="B105:G105"/>
    <mergeCell ref="B2:G2"/>
    <mergeCell ref="B19:G19"/>
    <mergeCell ref="B37:G37"/>
    <mergeCell ref="B142:E142"/>
    <mergeCell ref="B56:G56"/>
    <mergeCell ref="B74:G74"/>
    <mergeCell ref="B119:G119"/>
    <mergeCell ref="B141:E141"/>
    <mergeCell ref="B69:G69"/>
    <mergeCell ref="B87:G87"/>
    <mergeCell ref="B125:G125"/>
    <mergeCell ref="B115:G11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57BBA"/>
  </sheetPr>
  <dimension ref="B1:O18"/>
  <sheetViews>
    <sheetView showGridLines="0" zoomScaleNormal="100" workbookViewId="0">
      <selection activeCell="B13" sqref="B13:O13"/>
    </sheetView>
  </sheetViews>
  <sheetFormatPr baseColWidth="10" defaultColWidth="8.5" defaultRowHeight="15" x14ac:dyDescent="0.2"/>
  <cols>
    <col min="1" max="1" width="2" customWidth="1"/>
    <col min="2" max="2" width="24" customWidth="1"/>
    <col min="3" max="15" width="11" customWidth="1"/>
  </cols>
  <sheetData>
    <row r="1" spans="2:15" ht="25.5" customHeight="1" x14ac:dyDescent="0.2">
      <c r="B1" s="98" t="s">
        <v>252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2:15" ht="18" customHeight="1" x14ac:dyDescent="0.2">
      <c r="B2" s="103" t="s">
        <v>253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4" spans="2:15" ht="18" customHeight="1" x14ac:dyDescent="0.2">
      <c r="B4" s="101" t="s">
        <v>254</v>
      </c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</row>
    <row r="5" spans="2:15" ht="15" customHeight="1" x14ac:dyDescent="0.2">
      <c r="B5" s="65" t="s">
        <v>255</v>
      </c>
      <c r="C5" s="65" t="s">
        <v>256</v>
      </c>
      <c r="D5" s="65" t="s">
        <v>257</v>
      </c>
      <c r="E5" s="65" t="s">
        <v>258</v>
      </c>
      <c r="F5" s="65" t="s">
        <v>259</v>
      </c>
      <c r="G5" s="65" t="s">
        <v>260</v>
      </c>
      <c r="H5" s="65" t="s">
        <v>261</v>
      </c>
      <c r="I5" s="65" t="s">
        <v>262</v>
      </c>
      <c r="J5" s="65" t="s">
        <v>263</v>
      </c>
      <c r="K5" s="65" t="s">
        <v>264</v>
      </c>
      <c r="L5" s="65" t="s">
        <v>265</v>
      </c>
      <c r="M5" s="65" t="s">
        <v>266</v>
      </c>
      <c r="N5" s="65" t="s">
        <v>267</v>
      </c>
      <c r="O5" s="65" t="s">
        <v>268</v>
      </c>
    </row>
    <row r="6" spans="2:15" ht="15" customHeight="1" x14ac:dyDescent="0.2">
      <c r="B6" s="66" t="s">
        <v>269</v>
      </c>
      <c r="C6" s="84">
        <v>5.4557681518108553E-2</v>
      </c>
      <c r="D6" s="84">
        <v>5.0967170220910171E-2</v>
      </c>
      <c r="E6" s="84">
        <v>6.289228203931603E-2</v>
      </c>
      <c r="F6" s="84">
        <v>8.5330028157788493E-2</v>
      </c>
      <c r="G6" s="84">
        <v>0.11207861633571214</v>
      </c>
      <c r="H6" s="84">
        <v>0.109890750926795</v>
      </c>
      <c r="I6" s="84">
        <v>0.10312134591082843</v>
      </c>
      <c r="J6" s="84">
        <v>9.8133432261379785E-2</v>
      </c>
      <c r="K6" s="84">
        <v>9.6565614988123397E-2</v>
      </c>
      <c r="L6" s="84">
        <v>9.647909664361258E-2</v>
      </c>
      <c r="M6" s="84">
        <v>7.0346623949326462E-2</v>
      </c>
      <c r="N6" s="84">
        <v>5.9637357048098957E-2</v>
      </c>
      <c r="O6" s="67">
        <f>SUM(C6:N6)</f>
        <v>1</v>
      </c>
    </row>
    <row r="7" spans="2:15" ht="6" customHeight="1" x14ac:dyDescent="0.2">
      <c r="B7" s="68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</row>
    <row r="8" spans="2:15" ht="18" customHeight="1" x14ac:dyDescent="0.2">
      <c r="B8" s="99" t="s">
        <v>270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</row>
    <row r="9" spans="2:15" ht="15" customHeight="1" x14ac:dyDescent="0.2">
      <c r="B9" s="66" t="s">
        <v>271</v>
      </c>
      <c r="C9" s="70">
        <v>33</v>
      </c>
      <c r="D9" s="70">
        <v>31</v>
      </c>
      <c r="E9" s="70">
        <v>38</v>
      </c>
      <c r="F9" s="70">
        <v>51</v>
      </c>
      <c r="G9" s="70">
        <v>66</v>
      </c>
      <c r="H9" s="83">
        <v>66</v>
      </c>
      <c r="I9" s="70">
        <v>62</v>
      </c>
      <c r="J9" s="70">
        <v>59</v>
      </c>
      <c r="K9" s="70">
        <v>58</v>
      </c>
      <c r="L9" s="70">
        <v>58</v>
      </c>
      <c r="M9" s="70">
        <v>42</v>
      </c>
      <c r="N9" s="70">
        <v>36</v>
      </c>
      <c r="O9" s="71">
        <f>SUM(C9:N9)</f>
        <v>600</v>
      </c>
    </row>
    <row r="10" spans="2:15" ht="15" customHeight="1" x14ac:dyDescent="0.2">
      <c r="B10" s="72" t="s">
        <v>272</v>
      </c>
      <c r="C10" s="85">
        <f>C9/$O9</f>
        <v>5.5E-2</v>
      </c>
      <c r="D10" s="85">
        <f t="shared" ref="D10:N10" si="0">D9/$O9</f>
        <v>5.1666666666666666E-2</v>
      </c>
      <c r="E10" s="85">
        <f t="shared" si="0"/>
        <v>6.3333333333333339E-2</v>
      </c>
      <c r="F10" s="85">
        <f t="shared" si="0"/>
        <v>8.5000000000000006E-2</v>
      </c>
      <c r="G10" s="85">
        <f t="shared" si="0"/>
        <v>0.11</v>
      </c>
      <c r="H10" s="85">
        <f t="shared" si="0"/>
        <v>0.11</v>
      </c>
      <c r="I10" s="85">
        <f t="shared" si="0"/>
        <v>0.10333333333333333</v>
      </c>
      <c r="J10" s="85">
        <f t="shared" si="0"/>
        <v>9.8333333333333328E-2</v>
      </c>
      <c r="K10" s="85">
        <f t="shared" si="0"/>
        <v>9.6666666666666665E-2</v>
      </c>
      <c r="L10" s="85">
        <f t="shared" si="0"/>
        <v>9.6666666666666665E-2</v>
      </c>
      <c r="M10" s="85">
        <f t="shared" si="0"/>
        <v>7.0000000000000007E-2</v>
      </c>
      <c r="N10" s="85">
        <f t="shared" si="0"/>
        <v>0.06</v>
      </c>
      <c r="O10" s="73">
        <f>SUM(C10:N10)</f>
        <v>1.0000000000000002</v>
      </c>
    </row>
    <row r="11" spans="2:15" ht="15" customHeight="1" x14ac:dyDescent="0.2">
      <c r="B11" s="6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71"/>
    </row>
    <row r="12" spans="2:15" ht="15" customHeight="1" x14ac:dyDescent="0.2">
      <c r="B12" s="102" t="s">
        <v>273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</row>
    <row r="13" spans="2:15" ht="15" customHeight="1" x14ac:dyDescent="0.2">
      <c r="B13" s="100" t="s">
        <v>274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</row>
    <row r="14" spans="2:15" ht="15" customHeight="1" x14ac:dyDescent="0.2">
      <c r="B14" s="100" t="s">
        <v>275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</row>
    <row r="15" spans="2:15" ht="15" customHeight="1" x14ac:dyDescent="0.2">
      <c r="B15" s="100" t="s">
        <v>276</v>
      </c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</row>
    <row r="16" spans="2:15" ht="15" customHeight="1" x14ac:dyDescent="0.2">
      <c r="B16" s="104" t="s">
        <v>277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</row>
    <row r="17" spans="2:15" ht="15" customHeight="1" x14ac:dyDescent="0.2">
      <c r="B17" s="97" t="s">
        <v>278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</row>
    <row r="18" spans="2:15" ht="15" customHeight="1" x14ac:dyDescent="0.2">
      <c r="B18" s="74"/>
    </row>
  </sheetData>
  <sheetProtection algorithmName="SHA-512" hashValue="ve8bkZtRhcBe/+oNxIh1LgsHVXyDMzPDaaZduFeh6CFIbbXSPABTXKAKwyNQck2Y07JS+PwJ7HrMv3umGGvraA==" saltValue="VnhWSvpMMrY0UbT/g2GQqQ==" spinCount="100000" sheet="1" objects="1" scenarios="1"/>
  <protectedRanges>
    <protectedRange sqref="C9:N9" name="Range1"/>
  </protectedRanges>
  <mergeCells count="10">
    <mergeCell ref="B17:O17"/>
    <mergeCell ref="B1:O1"/>
    <mergeCell ref="B8:O8"/>
    <mergeCell ref="B13:O13"/>
    <mergeCell ref="B4:O4"/>
    <mergeCell ref="B12:O12"/>
    <mergeCell ref="B2:O2"/>
    <mergeCell ref="B15:O15"/>
    <mergeCell ref="B14:O14"/>
    <mergeCell ref="B16:O1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76"/>
  <sheetViews>
    <sheetView showGridLines="0" zoomScale="75" zoomScaleNormal="75" workbookViewId="0">
      <selection activeCell="B65" sqref="B65:B69"/>
    </sheetView>
  </sheetViews>
  <sheetFormatPr baseColWidth="10" defaultColWidth="8.5" defaultRowHeight="15" x14ac:dyDescent="0.2"/>
  <cols>
    <col min="1" max="1" width="2" customWidth="1"/>
    <col min="2" max="2" width="33.1640625" customWidth="1"/>
    <col min="3" max="14" width="13" customWidth="1"/>
    <col min="15" max="15" width="15" customWidth="1"/>
  </cols>
  <sheetData>
    <row r="1" spans="2:15" ht="36" customHeight="1" x14ac:dyDescent="0.2">
      <c r="B1" s="89" t="s">
        <v>279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</row>
    <row r="2" spans="2:15" x14ac:dyDescent="0.2">
      <c r="B2" s="100" t="s">
        <v>280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21.75" customHeight="1" x14ac:dyDescent="0.2">
      <c r="B3" s="2" t="s">
        <v>23</v>
      </c>
      <c r="C3" s="2" t="s">
        <v>256</v>
      </c>
      <c r="D3" s="2" t="s">
        <v>257</v>
      </c>
      <c r="E3" s="2" t="s">
        <v>258</v>
      </c>
      <c r="F3" s="2" t="s">
        <v>259</v>
      </c>
      <c r="G3" s="2" t="s">
        <v>260</v>
      </c>
      <c r="H3" s="2" t="s">
        <v>261</v>
      </c>
      <c r="I3" s="2" t="s">
        <v>262</v>
      </c>
      <c r="J3" s="2" t="s">
        <v>263</v>
      </c>
      <c r="K3" s="2" t="s">
        <v>264</v>
      </c>
      <c r="L3" s="2" t="s">
        <v>265</v>
      </c>
      <c r="M3" s="2" t="s">
        <v>266</v>
      </c>
      <c r="N3" s="2" t="s">
        <v>267</v>
      </c>
      <c r="O3" s="54" t="s">
        <v>281</v>
      </c>
    </row>
    <row r="4" spans="2:15" ht="16.5" customHeight="1" x14ac:dyDescent="0.2">
      <c r="B4" s="55" t="s">
        <v>16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6">
        <f>SUM(O5:O12)</f>
        <v>181466.272</v>
      </c>
    </row>
    <row r="5" spans="2:15" ht="18" customHeight="1" x14ac:dyDescent="0.2">
      <c r="B5" s="8" t="s">
        <v>17</v>
      </c>
      <c r="C5" s="57">
        <f>$O5/12</f>
        <v>3738.7999999999997</v>
      </c>
      <c r="D5" s="57">
        <f t="shared" ref="D5:N5" si="0">$O5/12</f>
        <v>3738.7999999999997</v>
      </c>
      <c r="E5" s="57">
        <f t="shared" si="0"/>
        <v>3738.7999999999997</v>
      </c>
      <c r="F5" s="57">
        <f t="shared" si="0"/>
        <v>3738.7999999999997</v>
      </c>
      <c r="G5" s="57">
        <f t="shared" si="0"/>
        <v>3738.7999999999997</v>
      </c>
      <c r="H5" s="57">
        <f t="shared" si="0"/>
        <v>3738.7999999999997</v>
      </c>
      <c r="I5" s="57">
        <f t="shared" si="0"/>
        <v>3738.7999999999997</v>
      </c>
      <c r="J5" s="57">
        <f t="shared" si="0"/>
        <v>3738.7999999999997</v>
      </c>
      <c r="K5" s="57">
        <f t="shared" si="0"/>
        <v>3738.7999999999997</v>
      </c>
      <c r="L5" s="57">
        <f t="shared" si="0"/>
        <v>3738.7999999999997</v>
      </c>
      <c r="M5" s="57">
        <f t="shared" si="0"/>
        <v>3738.7999999999997</v>
      </c>
      <c r="N5" s="57">
        <f t="shared" si="0"/>
        <v>3738.7999999999997</v>
      </c>
      <c r="O5" s="58">
        <f>'📋 Inputs'!H11</f>
        <v>44865.599999999999</v>
      </c>
    </row>
    <row r="6" spans="2:15" ht="18" customHeight="1" x14ac:dyDescent="0.2">
      <c r="B6" s="8" t="s">
        <v>143</v>
      </c>
      <c r="C6" s="57">
        <f>C5*0.3</f>
        <v>1121.6399999999999</v>
      </c>
      <c r="D6" s="57">
        <f t="shared" ref="D6:N6" si="1">D5*0.3</f>
        <v>1121.6399999999999</v>
      </c>
      <c r="E6" s="57">
        <f t="shared" si="1"/>
        <v>1121.6399999999999</v>
      </c>
      <c r="F6" s="57">
        <f t="shared" si="1"/>
        <v>1121.6399999999999</v>
      </c>
      <c r="G6" s="57">
        <f t="shared" si="1"/>
        <v>1121.6399999999999</v>
      </c>
      <c r="H6" s="57">
        <f t="shared" si="1"/>
        <v>1121.6399999999999</v>
      </c>
      <c r="I6" s="57">
        <f t="shared" si="1"/>
        <v>1121.6399999999999</v>
      </c>
      <c r="J6" s="57">
        <f t="shared" si="1"/>
        <v>1121.6399999999999</v>
      </c>
      <c r="K6" s="57">
        <f t="shared" si="1"/>
        <v>1121.6399999999999</v>
      </c>
      <c r="L6" s="57">
        <f t="shared" si="1"/>
        <v>1121.6399999999999</v>
      </c>
      <c r="M6" s="57">
        <f t="shared" si="1"/>
        <v>1121.6399999999999</v>
      </c>
      <c r="N6" s="57">
        <f t="shared" si="1"/>
        <v>1121.6399999999999</v>
      </c>
      <c r="O6" s="58">
        <f>SUM(C6:N6)</f>
        <v>13459.679999999995</v>
      </c>
    </row>
    <row r="7" spans="2:15" ht="18" customHeight="1" x14ac:dyDescent="0.2">
      <c r="B7" s="8" t="s">
        <v>18</v>
      </c>
      <c r="C7" s="57">
        <f>$O7/12</f>
        <v>3806.4</v>
      </c>
      <c r="D7" s="57">
        <f t="shared" ref="D7:N7" si="2">$O7/12</f>
        <v>3806.4</v>
      </c>
      <c r="E7" s="57">
        <f t="shared" si="2"/>
        <v>3806.4</v>
      </c>
      <c r="F7" s="57">
        <f t="shared" si="2"/>
        <v>3806.4</v>
      </c>
      <c r="G7" s="57">
        <f t="shared" si="2"/>
        <v>3806.4</v>
      </c>
      <c r="H7" s="57">
        <f t="shared" si="2"/>
        <v>3806.4</v>
      </c>
      <c r="I7" s="57">
        <f t="shared" si="2"/>
        <v>3806.4</v>
      </c>
      <c r="J7" s="57">
        <f t="shared" si="2"/>
        <v>3806.4</v>
      </c>
      <c r="K7" s="57">
        <f t="shared" si="2"/>
        <v>3806.4</v>
      </c>
      <c r="L7" s="57">
        <f t="shared" si="2"/>
        <v>3806.4</v>
      </c>
      <c r="M7" s="57">
        <f t="shared" si="2"/>
        <v>3806.4</v>
      </c>
      <c r="N7" s="57">
        <f t="shared" si="2"/>
        <v>3806.4</v>
      </c>
      <c r="O7" s="58">
        <f>'📋 Inputs'!H12</f>
        <v>45676.800000000003</v>
      </c>
    </row>
    <row r="8" spans="2:15" ht="18" customHeight="1" x14ac:dyDescent="0.2">
      <c r="B8" s="8" t="s">
        <v>145</v>
      </c>
      <c r="C8" s="57">
        <f>C7*0.3</f>
        <v>1141.92</v>
      </c>
      <c r="D8" s="57">
        <f t="shared" ref="D8:N8" si="3">D7*0.3</f>
        <v>1141.92</v>
      </c>
      <c r="E8" s="57">
        <f t="shared" si="3"/>
        <v>1141.92</v>
      </c>
      <c r="F8" s="57">
        <f t="shared" si="3"/>
        <v>1141.92</v>
      </c>
      <c r="G8" s="57">
        <f t="shared" si="3"/>
        <v>1141.92</v>
      </c>
      <c r="H8" s="57">
        <f t="shared" si="3"/>
        <v>1141.92</v>
      </c>
      <c r="I8" s="57">
        <f t="shared" si="3"/>
        <v>1141.92</v>
      </c>
      <c r="J8" s="57">
        <f t="shared" si="3"/>
        <v>1141.92</v>
      </c>
      <c r="K8" s="57">
        <f t="shared" si="3"/>
        <v>1141.92</v>
      </c>
      <c r="L8" s="57">
        <f t="shared" si="3"/>
        <v>1141.92</v>
      </c>
      <c r="M8" s="57">
        <f t="shared" si="3"/>
        <v>1141.92</v>
      </c>
      <c r="N8" s="57">
        <f t="shared" si="3"/>
        <v>1141.92</v>
      </c>
      <c r="O8" s="58">
        <f>SUM(C8:N8)</f>
        <v>13703.04</v>
      </c>
    </row>
    <row r="9" spans="2:15" ht="18" customHeight="1" x14ac:dyDescent="0.2">
      <c r="B9" s="8" t="s">
        <v>282</v>
      </c>
      <c r="C9" s="57">
        <f>$O9/12</f>
        <v>2710.9333333333334</v>
      </c>
      <c r="D9" s="57">
        <f t="shared" ref="D9:N9" si="4">$O9/12</f>
        <v>2710.9333333333334</v>
      </c>
      <c r="E9" s="57">
        <f t="shared" si="4"/>
        <v>2710.9333333333334</v>
      </c>
      <c r="F9" s="57">
        <f t="shared" si="4"/>
        <v>2710.9333333333334</v>
      </c>
      <c r="G9" s="57">
        <f t="shared" si="4"/>
        <v>2710.9333333333334</v>
      </c>
      <c r="H9" s="57">
        <f t="shared" si="4"/>
        <v>2710.9333333333334</v>
      </c>
      <c r="I9" s="57">
        <f t="shared" si="4"/>
        <v>2710.9333333333334</v>
      </c>
      <c r="J9" s="57">
        <f t="shared" si="4"/>
        <v>2710.9333333333334</v>
      </c>
      <c r="K9" s="57">
        <f t="shared" si="4"/>
        <v>2710.9333333333334</v>
      </c>
      <c r="L9" s="57">
        <f t="shared" si="4"/>
        <v>2710.9333333333334</v>
      </c>
      <c r="M9" s="57">
        <f t="shared" si="4"/>
        <v>2710.9333333333334</v>
      </c>
      <c r="N9" s="57">
        <f t="shared" si="4"/>
        <v>2710.9333333333334</v>
      </c>
      <c r="O9" s="58">
        <f>'📋 Inputs'!H13</f>
        <v>32531.200000000001</v>
      </c>
    </row>
    <row r="10" spans="2:15" ht="18" customHeight="1" x14ac:dyDescent="0.2">
      <c r="B10" s="8" t="s">
        <v>283</v>
      </c>
      <c r="C10" s="57">
        <f>C9*0.3</f>
        <v>813.28</v>
      </c>
      <c r="D10" s="57">
        <f t="shared" ref="D10:N10" si="5">D9*0.3</f>
        <v>813.28</v>
      </c>
      <c r="E10" s="57">
        <f t="shared" si="5"/>
        <v>813.28</v>
      </c>
      <c r="F10" s="57">
        <f t="shared" si="5"/>
        <v>813.28</v>
      </c>
      <c r="G10" s="57">
        <f t="shared" si="5"/>
        <v>813.28</v>
      </c>
      <c r="H10" s="57">
        <f t="shared" si="5"/>
        <v>813.28</v>
      </c>
      <c r="I10" s="57">
        <f t="shared" si="5"/>
        <v>813.28</v>
      </c>
      <c r="J10" s="57">
        <f t="shared" si="5"/>
        <v>813.28</v>
      </c>
      <c r="K10" s="57">
        <f t="shared" si="5"/>
        <v>813.28</v>
      </c>
      <c r="L10" s="57">
        <f t="shared" si="5"/>
        <v>813.28</v>
      </c>
      <c r="M10" s="57">
        <f t="shared" si="5"/>
        <v>813.28</v>
      </c>
      <c r="N10" s="57">
        <f t="shared" si="5"/>
        <v>813.28</v>
      </c>
      <c r="O10" s="58">
        <f>O9*0.3</f>
        <v>9759.36</v>
      </c>
    </row>
    <row r="11" spans="2:15" ht="18" customHeight="1" x14ac:dyDescent="0.2">
      <c r="B11" s="8" t="s">
        <v>148</v>
      </c>
      <c r="C11" s="57">
        <f>$O$11/12</f>
        <v>1626.5600000000002</v>
      </c>
      <c r="D11" s="57">
        <f t="shared" ref="D11:N11" si="6">$O$11/12</f>
        <v>1626.5600000000002</v>
      </c>
      <c r="E11" s="57">
        <f t="shared" si="6"/>
        <v>1626.5600000000002</v>
      </c>
      <c r="F11" s="57">
        <f t="shared" si="6"/>
        <v>1626.5600000000002</v>
      </c>
      <c r="G11" s="57">
        <f t="shared" si="6"/>
        <v>1626.5600000000002</v>
      </c>
      <c r="H11" s="57">
        <f t="shared" si="6"/>
        <v>1626.5600000000002</v>
      </c>
      <c r="I11" s="57">
        <f t="shared" si="6"/>
        <v>1626.5600000000002</v>
      </c>
      <c r="J11" s="57">
        <f t="shared" si="6"/>
        <v>1626.5600000000002</v>
      </c>
      <c r="K11" s="57">
        <f t="shared" si="6"/>
        <v>1626.5600000000002</v>
      </c>
      <c r="L11" s="57">
        <f t="shared" si="6"/>
        <v>1626.5600000000002</v>
      </c>
      <c r="M11" s="57">
        <f t="shared" si="6"/>
        <v>1626.5600000000002</v>
      </c>
      <c r="N11" s="57">
        <f t="shared" si="6"/>
        <v>1626.5600000000002</v>
      </c>
      <c r="O11" s="58">
        <f>'📋 Inputs'!H14</f>
        <v>19518.72</v>
      </c>
    </row>
    <row r="12" spans="2:15" ht="18" customHeight="1" x14ac:dyDescent="0.2">
      <c r="B12" s="8" t="s">
        <v>149</v>
      </c>
      <c r="C12" s="57">
        <f>C11*0.1</f>
        <v>162.65600000000003</v>
      </c>
      <c r="D12" s="57">
        <f>D11*0.1</f>
        <v>162.65600000000003</v>
      </c>
      <c r="E12" s="57">
        <f>E11*0.1</f>
        <v>162.65600000000003</v>
      </c>
      <c r="F12" s="57">
        <f t="shared" ref="F12:N12" si="7">F11*0.1</f>
        <v>162.65600000000003</v>
      </c>
      <c r="G12" s="57">
        <f t="shared" si="7"/>
        <v>162.65600000000003</v>
      </c>
      <c r="H12" s="57">
        <f t="shared" si="7"/>
        <v>162.65600000000003</v>
      </c>
      <c r="I12" s="57">
        <f t="shared" si="7"/>
        <v>162.65600000000003</v>
      </c>
      <c r="J12" s="57">
        <f t="shared" si="7"/>
        <v>162.65600000000003</v>
      </c>
      <c r="K12" s="57">
        <f t="shared" si="7"/>
        <v>162.65600000000003</v>
      </c>
      <c r="L12" s="57">
        <f t="shared" si="7"/>
        <v>162.65600000000003</v>
      </c>
      <c r="M12" s="57">
        <f t="shared" si="7"/>
        <v>162.65600000000003</v>
      </c>
      <c r="N12" s="57">
        <f t="shared" si="7"/>
        <v>162.65600000000003</v>
      </c>
      <c r="O12" s="58">
        <f>O11*0.1</f>
        <v>1951.8720000000003</v>
      </c>
    </row>
    <row r="13" spans="2:15" ht="16.5" customHeight="1" x14ac:dyDescent="0.2">
      <c r="B13" s="55" t="s">
        <v>28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6">
        <f>SUM(O14:O21)</f>
        <v>6697</v>
      </c>
    </row>
    <row r="14" spans="2:15" ht="18" customHeight="1" x14ac:dyDescent="0.2">
      <c r="B14" s="8" t="s">
        <v>151</v>
      </c>
      <c r="C14" s="57">
        <f>$O$14*((('📋 Inputs'!$D$7/('📋 Inputs'!$D$6+'📋 Inputs'!$D$7))/12)+(('📋 Inputs'!$D$6/('📋 Inputs'!$D$6+'📋 Inputs'!$D$7))*'🐱 Cat Curve Intake'!C$10))</f>
        <v>17.279999999999998</v>
      </c>
      <c r="D14" s="57">
        <f>$O$14*((('📋 Inputs'!$D$7/('📋 Inputs'!$D$6+'📋 Inputs'!$D$7))/12)+(('📋 Inputs'!$D$6/('📋 Inputs'!$D$6+'📋 Inputs'!$D$7))*'🐱 Cat Curve Intake'!D$10))</f>
        <v>16.959999999999997</v>
      </c>
      <c r="E14" s="57">
        <f>$O$14*((('📋 Inputs'!$D$7/('📋 Inputs'!$D$6+'📋 Inputs'!$D$7))/12)+(('📋 Inputs'!$D$6/('📋 Inputs'!$D$6+'📋 Inputs'!$D$7))*'🐱 Cat Curve Intake'!E$10))</f>
        <v>18.080000000000002</v>
      </c>
      <c r="F14" s="57">
        <f>$O$14*((('📋 Inputs'!$D$7/('📋 Inputs'!$D$6+'📋 Inputs'!$D$7))/12)+(('📋 Inputs'!$D$6/('📋 Inputs'!$D$6+'📋 Inputs'!$D$7))*'🐱 Cat Curve Intake'!F$10))</f>
        <v>20.159999999999997</v>
      </c>
      <c r="G14" s="57">
        <f>$O$14*((('📋 Inputs'!$D$7/('📋 Inputs'!$D$6+'📋 Inputs'!$D$7))/12)+(('📋 Inputs'!$D$6/('📋 Inputs'!$D$6+'📋 Inputs'!$D$7))*'🐱 Cat Curve Intake'!G$10))</f>
        <v>22.56</v>
      </c>
      <c r="H14" s="57">
        <f>$O$14*((('📋 Inputs'!$D$7/('📋 Inputs'!$D$6+'📋 Inputs'!$D$7))/12)+(('📋 Inputs'!$D$6/('📋 Inputs'!$D$6+'📋 Inputs'!$D$7))*'🐱 Cat Curve Intake'!H$10))</f>
        <v>22.56</v>
      </c>
      <c r="I14" s="57">
        <f>$O$14*((('📋 Inputs'!$D$7/('📋 Inputs'!$D$6+'📋 Inputs'!$D$7))/12)+(('📋 Inputs'!$D$6/('📋 Inputs'!$D$6+'📋 Inputs'!$D$7))*'🐱 Cat Curve Intake'!I$10))</f>
        <v>21.919999999999998</v>
      </c>
      <c r="J14" s="57">
        <f>$O$14*((('📋 Inputs'!$D$7/('📋 Inputs'!$D$6+'📋 Inputs'!$D$7))/12)+(('📋 Inputs'!$D$6/('📋 Inputs'!$D$6+'📋 Inputs'!$D$7))*'🐱 Cat Curve Intake'!J$10))</f>
        <v>21.439999999999998</v>
      </c>
      <c r="K14" s="57">
        <f>$O$14*((('📋 Inputs'!$D$7/('📋 Inputs'!$D$6+'📋 Inputs'!$D$7))/12)+(('📋 Inputs'!$D$6/('📋 Inputs'!$D$6+'📋 Inputs'!$D$7))*'🐱 Cat Curve Intake'!K$10))</f>
        <v>21.28</v>
      </c>
      <c r="L14" s="57">
        <f>$O$14*((('📋 Inputs'!$D$7/('📋 Inputs'!$D$6+'📋 Inputs'!$D$7))/12)+(('📋 Inputs'!$D$6/('📋 Inputs'!$D$6+'📋 Inputs'!$D$7))*'🐱 Cat Curve Intake'!L$10))</f>
        <v>21.28</v>
      </c>
      <c r="M14" s="57">
        <f>$O$14*((('📋 Inputs'!$D$7/('📋 Inputs'!$D$6+'📋 Inputs'!$D$7))/12)+(('📋 Inputs'!$D$6/('📋 Inputs'!$D$6+'📋 Inputs'!$D$7))*'🐱 Cat Curve Intake'!M$10))</f>
        <v>18.72</v>
      </c>
      <c r="N14" s="57">
        <f>$O$14*((('📋 Inputs'!$D$7/('📋 Inputs'!$D$6+'📋 Inputs'!$D$7))/12)+(('📋 Inputs'!$D$6/('📋 Inputs'!$D$6+'📋 Inputs'!$D$7))*'🐱 Cat Curve Intake'!N$10))</f>
        <v>17.759999999999998</v>
      </c>
      <c r="O14" s="58">
        <f>'📊 Budget Summary'!F20</f>
        <v>240</v>
      </c>
    </row>
    <row r="15" spans="2:15" ht="18" customHeight="1" x14ac:dyDescent="0.2">
      <c r="B15" s="8" t="s">
        <v>152</v>
      </c>
      <c r="C15" s="57">
        <f>$O$15*((('📋 Inputs'!$D$7/('📋 Inputs'!$D$6+'📋 Inputs'!$D$7))/12)+(('📋 Inputs'!$D$6/('📋 Inputs'!$D$6+'📋 Inputs'!$D$7))*'🐱 Cat Curve Intake'!C$10))</f>
        <v>6.2639999999999993</v>
      </c>
      <c r="D15" s="57">
        <f>$O$15*((('📋 Inputs'!$D$7/('📋 Inputs'!$D$6+'📋 Inputs'!$D$7))/12)+(('📋 Inputs'!$D$6/('📋 Inputs'!$D$6+'📋 Inputs'!$D$7))*'🐱 Cat Curve Intake'!D$10))</f>
        <v>6.1479999999999988</v>
      </c>
      <c r="E15" s="57">
        <f>$O$15*((('📋 Inputs'!$D$7/('📋 Inputs'!$D$6+'📋 Inputs'!$D$7))/12)+(('📋 Inputs'!$D$6/('📋 Inputs'!$D$6+'📋 Inputs'!$D$7))*'🐱 Cat Curve Intake'!E$10))</f>
        <v>6.5540000000000003</v>
      </c>
      <c r="F15" s="57">
        <f>$O$15*((('📋 Inputs'!$D$7/('📋 Inputs'!$D$6+'📋 Inputs'!$D$7))/12)+(('📋 Inputs'!$D$6/('📋 Inputs'!$D$6+'📋 Inputs'!$D$7))*'🐱 Cat Curve Intake'!F$10))</f>
        <v>7.3079999999999989</v>
      </c>
      <c r="G15" s="57">
        <f>$O$15*((('📋 Inputs'!$D$7/('📋 Inputs'!$D$6+'📋 Inputs'!$D$7))/12)+(('📋 Inputs'!$D$6/('📋 Inputs'!$D$6+'📋 Inputs'!$D$7))*'🐱 Cat Curve Intake'!G$10))</f>
        <v>8.1780000000000008</v>
      </c>
      <c r="H15" s="57">
        <f>$O$15*((('📋 Inputs'!$D$7/('📋 Inputs'!$D$6+'📋 Inputs'!$D$7))/12)+(('📋 Inputs'!$D$6/('📋 Inputs'!$D$6+'📋 Inputs'!$D$7))*'🐱 Cat Curve Intake'!H$10))</f>
        <v>8.1780000000000008</v>
      </c>
      <c r="I15" s="57">
        <f>$O$15*((('📋 Inputs'!$D$7/('📋 Inputs'!$D$6+'📋 Inputs'!$D$7))/12)+(('📋 Inputs'!$D$6/('📋 Inputs'!$D$6+'📋 Inputs'!$D$7))*'🐱 Cat Curve Intake'!I$10))</f>
        <v>7.9459999999999988</v>
      </c>
      <c r="J15" s="57">
        <f>$O$15*((('📋 Inputs'!$D$7/('📋 Inputs'!$D$6+'📋 Inputs'!$D$7))/12)+(('📋 Inputs'!$D$6/('📋 Inputs'!$D$6+'📋 Inputs'!$D$7))*'🐱 Cat Curve Intake'!J$10))</f>
        <v>7.7719999999999985</v>
      </c>
      <c r="K15" s="57">
        <f>$O$15*((('📋 Inputs'!$D$7/('📋 Inputs'!$D$6+'📋 Inputs'!$D$7))/12)+(('📋 Inputs'!$D$6/('📋 Inputs'!$D$6+'📋 Inputs'!$D$7))*'🐱 Cat Curve Intake'!K$10))</f>
        <v>7.7140000000000004</v>
      </c>
      <c r="L15" s="57">
        <f>$O$15*((('📋 Inputs'!$D$7/('📋 Inputs'!$D$6+'📋 Inputs'!$D$7))/12)+(('📋 Inputs'!$D$6/('📋 Inputs'!$D$6+'📋 Inputs'!$D$7))*'🐱 Cat Curve Intake'!L$10))</f>
        <v>7.7140000000000004</v>
      </c>
      <c r="M15" s="57">
        <f>$O$15*((('📋 Inputs'!$D$7/('📋 Inputs'!$D$6+'📋 Inputs'!$D$7))/12)+(('📋 Inputs'!$D$6/('📋 Inputs'!$D$6+'📋 Inputs'!$D$7))*'🐱 Cat Curve Intake'!M$10))</f>
        <v>6.7859999999999996</v>
      </c>
      <c r="N15" s="57">
        <f>$O$15*((('📋 Inputs'!$D$7/('📋 Inputs'!$D$6+'📋 Inputs'!$D$7))/12)+(('📋 Inputs'!$D$6/('📋 Inputs'!$D$6+'📋 Inputs'!$D$7))*'🐱 Cat Curve Intake'!N$10))</f>
        <v>6.4379999999999997</v>
      </c>
      <c r="O15" s="58">
        <f>'📊 Budget Summary'!F21</f>
        <v>87</v>
      </c>
    </row>
    <row r="16" spans="2:15" ht="18" customHeight="1" x14ac:dyDescent="0.2">
      <c r="B16" s="8" t="s">
        <v>284</v>
      </c>
      <c r="C16" s="57">
        <f>$O$16*((('📋 Inputs'!$D$7/('📋 Inputs'!$D$6+'📋 Inputs'!$D$7))/12)+(('📋 Inputs'!$D$6/('📋 Inputs'!$D$6+'📋 Inputs'!$D$7))*'🐱 Cat Curve Intake'!C$10))</f>
        <v>79.055999999999997</v>
      </c>
      <c r="D16" s="57">
        <f>$O$16*((('📋 Inputs'!$D$7/('📋 Inputs'!$D$6+'📋 Inputs'!$D$7))/12)+(('📋 Inputs'!$D$6/('📋 Inputs'!$D$6+'📋 Inputs'!$D$7))*'🐱 Cat Curve Intake'!D$10))</f>
        <v>77.591999999999985</v>
      </c>
      <c r="E16" s="57">
        <f>$O$16*((('📋 Inputs'!$D$7/('📋 Inputs'!$D$6+'📋 Inputs'!$D$7))/12)+(('📋 Inputs'!$D$6/('📋 Inputs'!$D$6+'📋 Inputs'!$D$7))*'🐱 Cat Curve Intake'!E$10))</f>
        <v>82.716000000000008</v>
      </c>
      <c r="F16" s="57">
        <f>$O$16*((('📋 Inputs'!$D$7/('📋 Inputs'!$D$6+'📋 Inputs'!$D$7))/12)+(('📋 Inputs'!$D$6/('📋 Inputs'!$D$6+'📋 Inputs'!$D$7))*'🐱 Cat Curve Intake'!F$10))</f>
        <v>92.231999999999985</v>
      </c>
      <c r="G16" s="57">
        <f>$O$16*((('📋 Inputs'!$D$7/('📋 Inputs'!$D$6+'📋 Inputs'!$D$7))/12)+(('📋 Inputs'!$D$6/('📋 Inputs'!$D$6+'📋 Inputs'!$D$7))*'🐱 Cat Curve Intake'!G$10))</f>
        <v>103.212</v>
      </c>
      <c r="H16" s="57">
        <f>$O$16*((('📋 Inputs'!$D$7/('📋 Inputs'!$D$6+'📋 Inputs'!$D$7))/12)+(('📋 Inputs'!$D$6/('📋 Inputs'!$D$6+'📋 Inputs'!$D$7))*'🐱 Cat Curve Intake'!H$10))</f>
        <v>103.212</v>
      </c>
      <c r="I16" s="57">
        <f>$O$16*((('📋 Inputs'!$D$7/('📋 Inputs'!$D$6+'📋 Inputs'!$D$7))/12)+(('📋 Inputs'!$D$6/('📋 Inputs'!$D$6+'📋 Inputs'!$D$7))*'🐱 Cat Curve Intake'!I$10))</f>
        <v>100.28399999999999</v>
      </c>
      <c r="J16" s="57">
        <f>$O$16*((('📋 Inputs'!$D$7/('📋 Inputs'!$D$6+'📋 Inputs'!$D$7))/12)+(('📋 Inputs'!$D$6/('📋 Inputs'!$D$6+'📋 Inputs'!$D$7))*'🐱 Cat Curve Intake'!J$10))</f>
        <v>98.08799999999998</v>
      </c>
      <c r="K16" s="57">
        <f>$O$16*((('📋 Inputs'!$D$7/('📋 Inputs'!$D$6+'📋 Inputs'!$D$7))/12)+(('📋 Inputs'!$D$6/('📋 Inputs'!$D$6+'📋 Inputs'!$D$7))*'🐱 Cat Curve Intake'!K$10))</f>
        <v>97.356000000000009</v>
      </c>
      <c r="L16" s="57">
        <f>$O$16*((('📋 Inputs'!$D$7/('📋 Inputs'!$D$6+'📋 Inputs'!$D$7))/12)+(('📋 Inputs'!$D$6/('📋 Inputs'!$D$6+'📋 Inputs'!$D$7))*'🐱 Cat Curve Intake'!L$10))</f>
        <v>97.356000000000009</v>
      </c>
      <c r="M16" s="57">
        <f>$O$16*((('📋 Inputs'!$D$7/('📋 Inputs'!$D$6+'📋 Inputs'!$D$7))/12)+(('📋 Inputs'!$D$6/('📋 Inputs'!$D$6+'📋 Inputs'!$D$7))*'🐱 Cat Curve Intake'!M$10))</f>
        <v>85.644000000000005</v>
      </c>
      <c r="N16" s="57">
        <f>$O$16*((('📋 Inputs'!$D$7/('📋 Inputs'!$D$6+'📋 Inputs'!$D$7))/12)+(('📋 Inputs'!$D$6/('📋 Inputs'!$D$6+'📋 Inputs'!$D$7))*'🐱 Cat Curve Intake'!N$10))</f>
        <v>81.251999999999995</v>
      </c>
      <c r="O16" s="58">
        <f>'📊 Budget Summary'!F22</f>
        <v>1098</v>
      </c>
    </row>
    <row r="17" spans="2:15" ht="18" customHeight="1" x14ac:dyDescent="0.2">
      <c r="B17" s="17" t="s">
        <v>155</v>
      </c>
      <c r="C17" s="59">
        <f>IFERROR('📊 Budget Summary'!F23/12,0)</f>
        <v>3.5</v>
      </c>
      <c r="D17" s="59">
        <f>IFERROR('📊 Budget Summary'!F23/12,0)</f>
        <v>3.5</v>
      </c>
      <c r="E17" s="59">
        <f>IFERROR('📊 Budget Summary'!F23/12,0)</f>
        <v>3.5</v>
      </c>
      <c r="F17" s="59">
        <f>IFERROR('📊 Budget Summary'!F23/12,0)</f>
        <v>3.5</v>
      </c>
      <c r="G17" s="59">
        <f>IFERROR('📊 Budget Summary'!F23/12,0)</f>
        <v>3.5</v>
      </c>
      <c r="H17" s="59">
        <f>IFERROR('📊 Budget Summary'!F23/12,0)</f>
        <v>3.5</v>
      </c>
      <c r="I17" s="59">
        <f>IFERROR('📊 Budget Summary'!F23/12,0)</f>
        <v>3.5</v>
      </c>
      <c r="J17" s="59">
        <f>IFERROR('📊 Budget Summary'!F23/12,0)</f>
        <v>3.5</v>
      </c>
      <c r="K17" s="59">
        <f>IFERROR('📊 Budget Summary'!F23/12,0)</f>
        <v>3.5</v>
      </c>
      <c r="L17" s="59">
        <f>IFERROR('📊 Budget Summary'!F23/12,0)</f>
        <v>3.5</v>
      </c>
      <c r="M17" s="59">
        <f>IFERROR('📊 Budget Summary'!F23/12,0)</f>
        <v>3.5</v>
      </c>
      <c r="N17" s="59">
        <f>IFERROR('📊 Budget Summary'!F23/12,0)</f>
        <v>3.5</v>
      </c>
      <c r="O17" s="60">
        <f>'📊 Budget Summary'!F23</f>
        <v>42</v>
      </c>
    </row>
    <row r="18" spans="2:15" ht="18" customHeight="1" x14ac:dyDescent="0.2">
      <c r="B18" s="17" t="s">
        <v>156</v>
      </c>
      <c r="C18" s="59">
        <f>IFERROR('📊 Budget Summary'!F24/12,0)</f>
        <v>106.5</v>
      </c>
      <c r="D18" s="59">
        <f>IFERROR('📊 Budget Summary'!F24/12,0)</f>
        <v>106.5</v>
      </c>
      <c r="E18" s="59">
        <f>IFERROR('📊 Budget Summary'!F24/12,0)</f>
        <v>106.5</v>
      </c>
      <c r="F18" s="59">
        <f>IFERROR('📊 Budget Summary'!F24/12,0)</f>
        <v>106.5</v>
      </c>
      <c r="G18" s="59">
        <f>IFERROR('📊 Budget Summary'!F24/12,0)</f>
        <v>106.5</v>
      </c>
      <c r="H18" s="59">
        <f>IFERROR('📊 Budget Summary'!F24/12,0)</f>
        <v>106.5</v>
      </c>
      <c r="I18" s="59">
        <f>IFERROR('📊 Budget Summary'!F24/12,0)</f>
        <v>106.5</v>
      </c>
      <c r="J18" s="59">
        <f>IFERROR('📊 Budget Summary'!F24/12,0)</f>
        <v>106.5</v>
      </c>
      <c r="K18" s="59">
        <f>IFERROR('📊 Budget Summary'!F24/12,0)</f>
        <v>106.5</v>
      </c>
      <c r="L18" s="59">
        <f>IFERROR('📊 Budget Summary'!F24/12,0)</f>
        <v>106.5</v>
      </c>
      <c r="M18" s="59">
        <f>IFERROR('📊 Budget Summary'!F24/12,0)</f>
        <v>106.5</v>
      </c>
      <c r="N18" s="59">
        <f>IFERROR('📊 Budget Summary'!F24/12,0)</f>
        <v>106.5</v>
      </c>
      <c r="O18" s="60">
        <f>'📊 Budget Summary'!F24</f>
        <v>1278</v>
      </c>
    </row>
    <row r="19" spans="2:15" ht="18" customHeight="1" x14ac:dyDescent="0.2">
      <c r="B19" s="22" t="s">
        <v>157</v>
      </c>
      <c r="C19" s="61">
        <f>$O$19*'🐱 Cat Curve Intake'!C10</f>
        <v>181.5</v>
      </c>
      <c r="D19" s="61">
        <f>$O$19*'🐱 Cat Curve Intake'!D10</f>
        <v>170.5</v>
      </c>
      <c r="E19" s="61">
        <f>$O$19*'🐱 Cat Curve Intake'!E10</f>
        <v>209.00000000000003</v>
      </c>
      <c r="F19" s="61">
        <f>$O$19*'🐱 Cat Curve Intake'!F10</f>
        <v>280.5</v>
      </c>
      <c r="G19" s="61">
        <f>$O$19*'🐱 Cat Curve Intake'!G10</f>
        <v>363</v>
      </c>
      <c r="H19" s="61">
        <f>$O$19*'🐱 Cat Curve Intake'!H10</f>
        <v>363</v>
      </c>
      <c r="I19" s="61">
        <f>$O$19*'🐱 Cat Curve Intake'!I10</f>
        <v>341</v>
      </c>
      <c r="J19" s="61">
        <f>$O$19*'🐱 Cat Curve Intake'!J10</f>
        <v>324.5</v>
      </c>
      <c r="K19" s="61">
        <f>$O$19*'🐱 Cat Curve Intake'!K10</f>
        <v>319</v>
      </c>
      <c r="L19" s="61">
        <f>$O$19*'🐱 Cat Curve Intake'!L10</f>
        <v>319</v>
      </c>
      <c r="M19" s="61">
        <f>$O$19*'🐱 Cat Curve Intake'!M10</f>
        <v>231.00000000000003</v>
      </c>
      <c r="N19" s="61">
        <f>$O$19*'🐱 Cat Curve Intake'!N10</f>
        <v>198</v>
      </c>
      <c r="O19" s="62">
        <f>'📊 Budget Summary'!F25</f>
        <v>3300</v>
      </c>
    </row>
    <row r="20" spans="2:15" ht="18" customHeight="1" x14ac:dyDescent="0.2">
      <c r="B20" s="22" t="s">
        <v>285</v>
      </c>
      <c r="C20" s="61">
        <f>$O$20*'🐱 Cat Curve Intake'!C10</f>
        <v>22.11</v>
      </c>
      <c r="D20" s="61">
        <f>$O$20*'🐱 Cat Curve Intake'!D10</f>
        <v>20.77</v>
      </c>
      <c r="E20" s="61">
        <f>$O$20*'🐱 Cat Curve Intake'!E10</f>
        <v>25.46</v>
      </c>
      <c r="F20" s="61">
        <f>$O$20*'🐱 Cat Curve Intake'!F10</f>
        <v>34.17</v>
      </c>
      <c r="G20" s="61">
        <f>$O$20*'🐱 Cat Curve Intake'!G10</f>
        <v>44.22</v>
      </c>
      <c r="H20" s="61">
        <f>$O$20*'🐱 Cat Curve Intake'!H10</f>
        <v>44.22</v>
      </c>
      <c r="I20" s="61">
        <f>$O$20*'🐱 Cat Curve Intake'!I10</f>
        <v>41.54</v>
      </c>
      <c r="J20" s="61">
        <f>$O$20*'🐱 Cat Curve Intake'!J10</f>
        <v>39.53</v>
      </c>
      <c r="K20" s="61">
        <f>$O$20*'🐱 Cat Curve Intake'!K10</f>
        <v>38.86</v>
      </c>
      <c r="L20" s="61">
        <f>$O$20*'🐱 Cat Curve Intake'!L10</f>
        <v>38.86</v>
      </c>
      <c r="M20" s="61">
        <f>$O$20*'🐱 Cat Curve Intake'!M10</f>
        <v>28.140000000000004</v>
      </c>
      <c r="N20" s="61">
        <f>$O$20*'🐱 Cat Curve Intake'!N10</f>
        <v>24.119999999999997</v>
      </c>
      <c r="O20" s="62">
        <f>'📊 Budget Summary'!F26</f>
        <v>402</v>
      </c>
    </row>
    <row r="21" spans="2:15" ht="18" customHeight="1" x14ac:dyDescent="0.2">
      <c r="B21" s="22" t="s">
        <v>160</v>
      </c>
      <c r="C21" s="61">
        <f>$O$21*'🐱 Cat Curve Intake'!C10</f>
        <v>13.75</v>
      </c>
      <c r="D21" s="61">
        <f>$O$21*'🐱 Cat Curve Intake'!D10</f>
        <v>12.916666666666666</v>
      </c>
      <c r="E21" s="61">
        <f>$O$21*'🐱 Cat Curve Intake'!E10</f>
        <v>15.833333333333334</v>
      </c>
      <c r="F21" s="61">
        <f>$O$21*'🐱 Cat Curve Intake'!F10</f>
        <v>21.25</v>
      </c>
      <c r="G21" s="61">
        <f>$O$21*'🐱 Cat Curve Intake'!G10</f>
        <v>27.5</v>
      </c>
      <c r="H21" s="61">
        <f>$O$21*'🐱 Cat Curve Intake'!H10</f>
        <v>27.5</v>
      </c>
      <c r="I21" s="61">
        <f>$O$21*'🐱 Cat Curve Intake'!I10</f>
        <v>25.833333333333332</v>
      </c>
      <c r="J21" s="61">
        <f>$O$21*'🐱 Cat Curve Intake'!J10</f>
        <v>24.583333333333332</v>
      </c>
      <c r="K21" s="61">
        <f>$O$21*'🐱 Cat Curve Intake'!K10</f>
        <v>24.166666666666668</v>
      </c>
      <c r="L21" s="61">
        <f>$O$21*'🐱 Cat Curve Intake'!L10</f>
        <v>24.166666666666668</v>
      </c>
      <c r="M21" s="61">
        <f>$O$21*'🐱 Cat Curve Intake'!M10</f>
        <v>17.5</v>
      </c>
      <c r="N21" s="61">
        <f>$O$21*'🐱 Cat Curve Intake'!N10</f>
        <v>15</v>
      </c>
      <c r="O21" s="62">
        <f>'📊 Budget Summary'!F27</f>
        <v>250</v>
      </c>
    </row>
    <row r="22" spans="2:15" ht="16.5" customHeight="1" x14ac:dyDescent="0.2">
      <c r="B22" s="55" t="s">
        <v>286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6">
        <f>SUM(O23:O27)</f>
        <v>39990</v>
      </c>
    </row>
    <row r="23" spans="2:15" ht="18" customHeight="1" x14ac:dyDescent="0.2">
      <c r="B23" s="17" t="s">
        <v>169</v>
      </c>
      <c r="C23" s="59">
        <f>IFERROR('📊 Budget Summary'!F38/12,0)</f>
        <v>2400</v>
      </c>
      <c r="D23" s="59">
        <f>IFERROR('📊 Budget Summary'!F38/12,0)</f>
        <v>2400</v>
      </c>
      <c r="E23" s="59">
        <f>IFERROR('📊 Budget Summary'!F38/12,0)</f>
        <v>2400</v>
      </c>
      <c r="F23" s="59">
        <f>IFERROR('📊 Budget Summary'!F38/12,0)</f>
        <v>2400</v>
      </c>
      <c r="G23" s="59">
        <f>IFERROR('📊 Budget Summary'!F38/12,0)</f>
        <v>2400</v>
      </c>
      <c r="H23" s="59">
        <f>IFERROR('📊 Budget Summary'!F38/12,0)</f>
        <v>2400</v>
      </c>
      <c r="I23" s="59">
        <f>IFERROR('📊 Budget Summary'!F38/12,0)</f>
        <v>2400</v>
      </c>
      <c r="J23" s="59">
        <f>IFERROR('📊 Budget Summary'!F38/12,0)</f>
        <v>2400</v>
      </c>
      <c r="K23" s="59">
        <f>IFERROR('📊 Budget Summary'!F38/12,0)</f>
        <v>2400</v>
      </c>
      <c r="L23" s="59">
        <f>IFERROR('📊 Budget Summary'!F38/12,0)</f>
        <v>2400</v>
      </c>
      <c r="M23" s="59">
        <f>IFERROR('📊 Budget Summary'!F38/12,0)</f>
        <v>2400</v>
      </c>
      <c r="N23" s="59">
        <f>IFERROR('📊 Budget Summary'!F38/12,0)</f>
        <v>2400</v>
      </c>
      <c r="O23" s="60">
        <f>'📊 Budget Summary'!F38</f>
        <v>28800</v>
      </c>
    </row>
    <row r="24" spans="2:15" ht="18" customHeight="1" x14ac:dyDescent="0.2">
      <c r="B24" s="17" t="s">
        <v>170</v>
      </c>
      <c r="C24" s="59">
        <f>IFERROR('📊 Budget Summary'!F39/12,0)</f>
        <v>397.5</v>
      </c>
      <c r="D24" s="59">
        <f>IFERROR('📊 Budget Summary'!F39/12,0)</f>
        <v>397.5</v>
      </c>
      <c r="E24" s="59">
        <f>IFERROR('📊 Budget Summary'!F39/12,0)</f>
        <v>397.5</v>
      </c>
      <c r="F24" s="59">
        <f>IFERROR('📊 Budget Summary'!F39/12,0)</f>
        <v>397.5</v>
      </c>
      <c r="G24" s="59">
        <f>IFERROR('📊 Budget Summary'!F39/12,0)</f>
        <v>397.5</v>
      </c>
      <c r="H24" s="59">
        <f>IFERROR('📊 Budget Summary'!F39/12,0)</f>
        <v>397.5</v>
      </c>
      <c r="I24" s="59">
        <f>IFERROR('📊 Budget Summary'!F39/12,0)</f>
        <v>397.5</v>
      </c>
      <c r="J24" s="59">
        <f>IFERROR('📊 Budget Summary'!F39/12,0)</f>
        <v>397.5</v>
      </c>
      <c r="K24" s="59">
        <f>IFERROR('📊 Budget Summary'!F39/12,0)</f>
        <v>397.5</v>
      </c>
      <c r="L24" s="59">
        <f>IFERROR('📊 Budget Summary'!F39/12,0)</f>
        <v>397.5</v>
      </c>
      <c r="M24" s="59">
        <f>IFERROR('📊 Budget Summary'!F39/12,0)</f>
        <v>397.5</v>
      </c>
      <c r="N24" s="59">
        <f>IFERROR('📊 Budget Summary'!F39/12,0)</f>
        <v>397.5</v>
      </c>
      <c r="O24" s="60">
        <f>'📊 Budget Summary'!F39</f>
        <v>4770</v>
      </c>
    </row>
    <row r="25" spans="2:15" ht="18" customHeight="1" x14ac:dyDescent="0.2">
      <c r="B25" s="22" t="s">
        <v>171</v>
      </c>
      <c r="C25" s="61">
        <f>$O$25*'🐱 Cat Curve Intake'!C10</f>
        <v>273.89999999999998</v>
      </c>
      <c r="D25" s="61">
        <f>$O$25*'🐱 Cat Curve Intake'!D10</f>
        <v>257.3</v>
      </c>
      <c r="E25" s="61">
        <f>$O$25*'🐱 Cat Curve Intake'!E10</f>
        <v>315.40000000000003</v>
      </c>
      <c r="F25" s="61">
        <f>$O$25*'🐱 Cat Curve Intake'!F10</f>
        <v>423.3</v>
      </c>
      <c r="G25" s="61">
        <f>$O$25*'🐱 Cat Curve Intake'!G10</f>
        <v>547.79999999999995</v>
      </c>
      <c r="H25" s="61">
        <f>$O$25*'🐱 Cat Curve Intake'!H10</f>
        <v>547.79999999999995</v>
      </c>
      <c r="I25" s="61">
        <f>$O$25*'🐱 Cat Curve Intake'!I10</f>
        <v>514.6</v>
      </c>
      <c r="J25" s="61">
        <f>$O$25*'🐱 Cat Curve Intake'!J10</f>
        <v>489.7</v>
      </c>
      <c r="K25" s="61">
        <f>$O$25*'🐱 Cat Curve Intake'!K10</f>
        <v>481.4</v>
      </c>
      <c r="L25" s="61">
        <f>$O$25*'🐱 Cat Curve Intake'!L10</f>
        <v>481.4</v>
      </c>
      <c r="M25" s="61">
        <f>$O$25*'🐱 Cat Curve Intake'!M10</f>
        <v>348.6</v>
      </c>
      <c r="N25" s="61">
        <f>$O$25*'🐱 Cat Curve Intake'!N10</f>
        <v>298.8</v>
      </c>
      <c r="O25" s="62">
        <f>'📊 Budget Summary'!F40</f>
        <v>4980</v>
      </c>
    </row>
    <row r="26" spans="2:15" ht="18" customHeight="1" x14ac:dyDescent="0.2">
      <c r="B26" s="22" t="s">
        <v>172</v>
      </c>
      <c r="C26" s="61">
        <f>$O$26*'🐱 Cat Curve Intake'!C10</f>
        <v>79.2</v>
      </c>
      <c r="D26" s="61">
        <f>$O$26*'🐱 Cat Curve Intake'!D10</f>
        <v>74.400000000000006</v>
      </c>
      <c r="E26" s="61">
        <f>$O$26*'🐱 Cat Curve Intake'!E10</f>
        <v>91.2</v>
      </c>
      <c r="F26" s="61">
        <f>$O$26*'🐱 Cat Curve Intake'!F10</f>
        <v>122.4</v>
      </c>
      <c r="G26" s="61">
        <f>$O$26*'🐱 Cat Curve Intake'!G10</f>
        <v>158.4</v>
      </c>
      <c r="H26" s="61">
        <f>$O$26*'🐱 Cat Curve Intake'!H10</f>
        <v>158.4</v>
      </c>
      <c r="I26" s="61">
        <f>$O$26*'🐱 Cat Curve Intake'!I10</f>
        <v>148.80000000000001</v>
      </c>
      <c r="J26" s="61">
        <f>$O$26*'🐱 Cat Curve Intake'!J10</f>
        <v>141.6</v>
      </c>
      <c r="K26" s="61">
        <f>$O$26*'🐱 Cat Curve Intake'!K10</f>
        <v>139.19999999999999</v>
      </c>
      <c r="L26" s="61">
        <f>$O$26*'🐱 Cat Curve Intake'!L10</f>
        <v>139.19999999999999</v>
      </c>
      <c r="M26" s="61">
        <f>$O$26*'🐱 Cat Curve Intake'!M10</f>
        <v>100.80000000000001</v>
      </c>
      <c r="N26" s="61">
        <f>$O$26*'🐱 Cat Curve Intake'!N10</f>
        <v>86.399999999999991</v>
      </c>
      <c r="O26" s="62">
        <f>'📊 Budget Summary'!F41</f>
        <v>1440</v>
      </c>
    </row>
    <row r="27" spans="2:15" ht="18" customHeight="1" x14ac:dyDescent="0.2">
      <c r="B27" s="8" t="s">
        <v>173</v>
      </c>
      <c r="C27" s="57">
        <f>$O$27*((('📋 Inputs'!$D$7/('📋 Inputs'!$D$6+'📋 Inputs'!$D$7))/12)+(('📋 Inputs'!$D$6/('📋 Inputs'!$D$6+'📋 Inputs'!$D$7))*'🐱 Cat Curve Intake'!C$10))</f>
        <v>0</v>
      </c>
      <c r="D27" s="57">
        <f>$O$27*((('📋 Inputs'!$D$7/('📋 Inputs'!$D$6+'📋 Inputs'!$D$7))/12)+(('📋 Inputs'!$D$6/('📋 Inputs'!$D$6+'📋 Inputs'!$D$7))*'🐱 Cat Curve Intake'!D$10))</f>
        <v>0</v>
      </c>
      <c r="E27" s="57">
        <f>$O$27*((('📋 Inputs'!$D$7/('📋 Inputs'!$D$6+'📋 Inputs'!$D$7))/12)+(('📋 Inputs'!$D$6/('📋 Inputs'!$D$6+'📋 Inputs'!$D$7))*'🐱 Cat Curve Intake'!E$10))</f>
        <v>0</v>
      </c>
      <c r="F27" s="57">
        <f>$O$27*((('📋 Inputs'!$D$7/('📋 Inputs'!$D$6+'📋 Inputs'!$D$7))/12)+(('📋 Inputs'!$D$6/('📋 Inputs'!$D$6+'📋 Inputs'!$D$7))*'🐱 Cat Curve Intake'!F$10))</f>
        <v>0</v>
      </c>
      <c r="G27" s="57">
        <f>$O$27*((('📋 Inputs'!$D$7/('📋 Inputs'!$D$6+'📋 Inputs'!$D$7))/12)+(('📋 Inputs'!$D$6/('📋 Inputs'!$D$6+'📋 Inputs'!$D$7))*'🐱 Cat Curve Intake'!G$10))</f>
        <v>0</v>
      </c>
      <c r="H27" s="57">
        <f>$O$27*((('📋 Inputs'!$D$7/('📋 Inputs'!$D$6+'📋 Inputs'!$D$7))/12)+(('📋 Inputs'!$D$6/('📋 Inputs'!$D$6+'📋 Inputs'!$D$7))*'🐱 Cat Curve Intake'!H$10))</f>
        <v>0</v>
      </c>
      <c r="I27" s="57">
        <f>$O$27*((('📋 Inputs'!$D$7/('📋 Inputs'!$D$6+'📋 Inputs'!$D$7))/12)+(('📋 Inputs'!$D$6/('📋 Inputs'!$D$6+'📋 Inputs'!$D$7))*'🐱 Cat Curve Intake'!I$10))</f>
        <v>0</v>
      </c>
      <c r="J27" s="57">
        <f>$O$27*((('📋 Inputs'!$D$7/('📋 Inputs'!$D$6+'📋 Inputs'!$D$7))/12)+(('📋 Inputs'!$D$6/('📋 Inputs'!$D$6+'📋 Inputs'!$D$7))*'🐱 Cat Curve Intake'!J$10))</f>
        <v>0</v>
      </c>
      <c r="K27" s="57">
        <f>$O$27*((('📋 Inputs'!$D$7/('📋 Inputs'!$D$6+'📋 Inputs'!$D$7))/12)+(('📋 Inputs'!$D$6/('📋 Inputs'!$D$6+'📋 Inputs'!$D$7))*'🐱 Cat Curve Intake'!K$10))</f>
        <v>0</v>
      </c>
      <c r="L27" s="57">
        <f>$O$27*((('📋 Inputs'!$D$7/('📋 Inputs'!$D$6+'📋 Inputs'!$D$7))/12)+(('📋 Inputs'!$D$6/('📋 Inputs'!$D$6+'📋 Inputs'!$D$7))*'🐱 Cat Curve Intake'!L$10))</f>
        <v>0</v>
      </c>
      <c r="M27" s="57">
        <f>$O$27*((('📋 Inputs'!$D$7/('📋 Inputs'!$D$6+'📋 Inputs'!$D$7))/12)+(('📋 Inputs'!$D$6/('📋 Inputs'!$D$6+'📋 Inputs'!$D$7))*'🐱 Cat Curve Intake'!M$10))</f>
        <v>0</v>
      </c>
      <c r="N27" s="57">
        <f>$O$27*((('📋 Inputs'!$D$7/('📋 Inputs'!$D$6+'📋 Inputs'!$D$7))/12)+(('📋 Inputs'!$D$6/('📋 Inputs'!$D$6+'📋 Inputs'!$D$7))*'🐱 Cat Curve Intake'!N$10))</f>
        <v>0</v>
      </c>
      <c r="O27" s="58">
        <f>'📊 Budget Summary'!F42</f>
        <v>0</v>
      </c>
    </row>
    <row r="28" spans="2:15" ht="16.5" customHeight="1" x14ac:dyDescent="0.2">
      <c r="B28" s="55" t="s">
        <v>56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6">
        <f>SUM(O29:O33)</f>
        <v>4890</v>
      </c>
    </row>
    <row r="29" spans="2:15" ht="18" customHeight="1" x14ac:dyDescent="0.2">
      <c r="B29" s="8" t="s">
        <v>175</v>
      </c>
      <c r="C29" s="57">
        <f>$O$29*((('📋 Inputs'!$D$7/('📋 Inputs'!$D$6+'📋 Inputs'!$D$7))/12)+(('📋 Inputs'!$D$6/('📋 Inputs'!$D$6+'📋 Inputs'!$D$7))*'🐱 Cat Curve Intake'!C$10))</f>
        <v>151.19999999999999</v>
      </c>
      <c r="D29" s="57">
        <f>$O$29*((('📋 Inputs'!$D$7/('📋 Inputs'!$D$6+'📋 Inputs'!$D$7))/12)+(('📋 Inputs'!$D$6/('📋 Inputs'!$D$6+'📋 Inputs'!$D$7))*'🐱 Cat Curve Intake'!D$10))</f>
        <v>148.39999999999998</v>
      </c>
      <c r="E29" s="57">
        <f>$O$29*((('📋 Inputs'!$D$7/('📋 Inputs'!$D$6+'📋 Inputs'!$D$7))/12)+(('📋 Inputs'!$D$6/('📋 Inputs'!$D$6+'📋 Inputs'!$D$7))*'🐱 Cat Curve Intake'!E$10))</f>
        <v>158.20000000000002</v>
      </c>
      <c r="F29" s="57">
        <f>$O$29*((('📋 Inputs'!$D$7/('📋 Inputs'!$D$6+'📋 Inputs'!$D$7))/12)+(('📋 Inputs'!$D$6/('📋 Inputs'!$D$6+'📋 Inputs'!$D$7))*'🐱 Cat Curve Intake'!F$10))</f>
        <v>176.39999999999998</v>
      </c>
      <c r="G29" s="57">
        <f>$O$29*((('📋 Inputs'!$D$7/('📋 Inputs'!$D$6+'📋 Inputs'!$D$7))/12)+(('📋 Inputs'!$D$6/('📋 Inputs'!$D$6+'📋 Inputs'!$D$7))*'🐱 Cat Curve Intake'!G$10))</f>
        <v>197.4</v>
      </c>
      <c r="H29" s="57">
        <f>$O$29*((('📋 Inputs'!$D$7/('📋 Inputs'!$D$6+'📋 Inputs'!$D$7))/12)+(('📋 Inputs'!$D$6/('📋 Inputs'!$D$6+'📋 Inputs'!$D$7))*'🐱 Cat Curve Intake'!H$10))</f>
        <v>197.4</v>
      </c>
      <c r="I29" s="57">
        <f>$O$29*((('📋 Inputs'!$D$7/('📋 Inputs'!$D$6+'📋 Inputs'!$D$7))/12)+(('📋 Inputs'!$D$6/('📋 Inputs'!$D$6+'📋 Inputs'!$D$7))*'🐱 Cat Curve Intake'!I$10))</f>
        <v>191.79999999999998</v>
      </c>
      <c r="J29" s="57">
        <f>$O$29*((('📋 Inputs'!$D$7/('📋 Inputs'!$D$6+'📋 Inputs'!$D$7))/12)+(('📋 Inputs'!$D$6/('📋 Inputs'!$D$6+'📋 Inputs'!$D$7))*'🐱 Cat Curve Intake'!J$10))</f>
        <v>187.59999999999997</v>
      </c>
      <c r="K29" s="57">
        <f>$O$29*((('📋 Inputs'!$D$7/('📋 Inputs'!$D$6+'📋 Inputs'!$D$7))/12)+(('📋 Inputs'!$D$6/('📋 Inputs'!$D$6+'📋 Inputs'!$D$7))*'🐱 Cat Curve Intake'!K$10))</f>
        <v>186.20000000000002</v>
      </c>
      <c r="L29" s="57">
        <f>$O$29*((('📋 Inputs'!$D$7/('📋 Inputs'!$D$6+'📋 Inputs'!$D$7))/12)+(('📋 Inputs'!$D$6/('📋 Inputs'!$D$6+'📋 Inputs'!$D$7))*'🐱 Cat Curve Intake'!L$10))</f>
        <v>186.20000000000002</v>
      </c>
      <c r="M29" s="57">
        <f>$O$29*((('📋 Inputs'!$D$7/('📋 Inputs'!$D$6+'📋 Inputs'!$D$7))/12)+(('📋 Inputs'!$D$6/('📋 Inputs'!$D$6+'📋 Inputs'!$D$7))*'🐱 Cat Curve Intake'!M$10))</f>
        <v>163.80000000000001</v>
      </c>
      <c r="N29" s="57">
        <f>$O$29*((('📋 Inputs'!$D$7/('📋 Inputs'!$D$6+'📋 Inputs'!$D$7))/12)+(('📋 Inputs'!$D$6/('📋 Inputs'!$D$6+'📋 Inputs'!$D$7))*'🐱 Cat Curve Intake'!N$10))</f>
        <v>155.4</v>
      </c>
      <c r="O29" s="58">
        <f>'📊 Budget Summary'!F46</f>
        <v>2100</v>
      </c>
    </row>
    <row r="30" spans="2:15" ht="18" customHeight="1" x14ac:dyDescent="0.2">
      <c r="B30" s="8" t="s">
        <v>176</v>
      </c>
      <c r="C30" s="57">
        <f>$O$30*((('📋 Inputs'!$D$7/('📋 Inputs'!$D$6+'📋 Inputs'!$D$7))/12)+(('📋 Inputs'!$D$6/('📋 Inputs'!$D$6+'📋 Inputs'!$D$7))*'🐱 Cat Curve Intake'!C$10))</f>
        <v>90.72</v>
      </c>
      <c r="D30" s="57">
        <f>$O$30*((('📋 Inputs'!$D$7/('📋 Inputs'!$D$6+'📋 Inputs'!$D$7))/12)+(('📋 Inputs'!$D$6/('📋 Inputs'!$D$6+'📋 Inputs'!$D$7))*'🐱 Cat Curve Intake'!D$10))</f>
        <v>89.039999999999992</v>
      </c>
      <c r="E30" s="57">
        <f>$O$30*((('📋 Inputs'!$D$7/('📋 Inputs'!$D$6+'📋 Inputs'!$D$7))/12)+(('📋 Inputs'!$D$6/('📋 Inputs'!$D$6+'📋 Inputs'!$D$7))*'🐱 Cat Curve Intake'!E$10))</f>
        <v>94.92</v>
      </c>
      <c r="F30" s="57">
        <f>$O$30*((('📋 Inputs'!$D$7/('📋 Inputs'!$D$6+'📋 Inputs'!$D$7))/12)+(('📋 Inputs'!$D$6/('📋 Inputs'!$D$6+'📋 Inputs'!$D$7))*'🐱 Cat Curve Intake'!F$10))</f>
        <v>105.83999999999999</v>
      </c>
      <c r="G30" s="57">
        <f>$O$30*((('📋 Inputs'!$D$7/('📋 Inputs'!$D$6+'📋 Inputs'!$D$7))/12)+(('📋 Inputs'!$D$6/('📋 Inputs'!$D$6+'📋 Inputs'!$D$7))*'🐱 Cat Curve Intake'!G$10))</f>
        <v>118.44</v>
      </c>
      <c r="H30" s="57">
        <f>$O$30*((('📋 Inputs'!$D$7/('📋 Inputs'!$D$6+'📋 Inputs'!$D$7))/12)+(('📋 Inputs'!$D$6/('📋 Inputs'!$D$6+'📋 Inputs'!$D$7))*'🐱 Cat Curve Intake'!H$10))</f>
        <v>118.44</v>
      </c>
      <c r="I30" s="57">
        <f>$O$30*((('📋 Inputs'!$D$7/('📋 Inputs'!$D$6+'📋 Inputs'!$D$7))/12)+(('📋 Inputs'!$D$6/('📋 Inputs'!$D$6+'📋 Inputs'!$D$7))*'🐱 Cat Curve Intake'!I$10))</f>
        <v>115.07999999999998</v>
      </c>
      <c r="J30" s="57">
        <f>$O$30*((('📋 Inputs'!$D$7/('📋 Inputs'!$D$6+'📋 Inputs'!$D$7))/12)+(('📋 Inputs'!$D$6/('📋 Inputs'!$D$6+'📋 Inputs'!$D$7))*'🐱 Cat Curve Intake'!J$10))</f>
        <v>112.55999999999999</v>
      </c>
      <c r="K30" s="57">
        <f>$O$30*((('📋 Inputs'!$D$7/('📋 Inputs'!$D$6+'📋 Inputs'!$D$7))/12)+(('📋 Inputs'!$D$6/('📋 Inputs'!$D$6+'📋 Inputs'!$D$7))*'🐱 Cat Curve Intake'!K$10))</f>
        <v>111.72</v>
      </c>
      <c r="L30" s="57">
        <f>$O$30*((('📋 Inputs'!$D$7/('📋 Inputs'!$D$6+'📋 Inputs'!$D$7))/12)+(('📋 Inputs'!$D$6/('📋 Inputs'!$D$6+'📋 Inputs'!$D$7))*'🐱 Cat Curve Intake'!L$10))</f>
        <v>111.72</v>
      </c>
      <c r="M30" s="57">
        <f>$O$30*((('📋 Inputs'!$D$7/('📋 Inputs'!$D$6+'📋 Inputs'!$D$7))/12)+(('📋 Inputs'!$D$6/('📋 Inputs'!$D$6+'📋 Inputs'!$D$7))*'🐱 Cat Curve Intake'!M$10))</f>
        <v>98.28</v>
      </c>
      <c r="N30" s="57">
        <f>$O$30*((('📋 Inputs'!$D$7/('📋 Inputs'!$D$6+'📋 Inputs'!$D$7))/12)+(('📋 Inputs'!$D$6/('📋 Inputs'!$D$6+'📋 Inputs'!$D$7))*'🐱 Cat Curve Intake'!N$10))</f>
        <v>93.24</v>
      </c>
      <c r="O30" s="58">
        <f>'📊 Budget Summary'!F47</f>
        <v>1260</v>
      </c>
    </row>
    <row r="31" spans="2:15" ht="18" customHeight="1" x14ac:dyDescent="0.2">
      <c r="B31" s="8" t="s">
        <v>177</v>
      </c>
      <c r="C31" s="57">
        <f>$O$31*((('📋 Inputs'!$D$7/('📋 Inputs'!$D$6+'📋 Inputs'!$D$7))/12)+(('📋 Inputs'!$D$6/('📋 Inputs'!$D$6+'📋 Inputs'!$D$7))*'🐱 Cat Curve Intake'!C$10))</f>
        <v>32.4</v>
      </c>
      <c r="D31" s="57">
        <f>$O$31*((('📋 Inputs'!$D$7/('📋 Inputs'!$D$6+'📋 Inputs'!$D$7))/12)+(('📋 Inputs'!$D$6/('📋 Inputs'!$D$6+'📋 Inputs'!$D$7))*'🐱 Cat Curve Intake'!D$10))</f>
        <v>31.799999999999994</v>
      </c>
      <c r="E31" s="57">
        <f>$O$31*((('📋 Inputs'!$D$7/('📋 Inputs'!$D$6+'📋 Inputs'!$D$7))/12)+(('📋 Inputs'!$D$6/('📋 Inputs'!$D$6+'📋 Inputs'!$D$7))*'🐱 Cat Curve Intake'!E$10))</f>
        <v>33.9</v>
      </c>
      <c r="F31" s="57">
        <f>$O$31*((('📋 Inputs'!$D$7/('📋 Inputs'!$D$6+'📋 Inputs'!$D$7))/12)+(('📋 Inputs'!$D$6/('📋 Inputs'!$D$6+'📋 Inputs'!$D$7))*'🐱 Cat Curve Intake'!F$10))</f>
        <v>37.799999999999997</v>
      </c>
      <c r="G31" s="57">
        <f>$O$31*((('📋 Inputs'!$D$7/('📋 Inputs'!$D$6+'📋 Inputs'!$D$7))/12)+(('📋 Inputs'!$D$6/('📋 Inputs'!$D$6+'📋 Inputs'!$D$7))*'🐱 Cat Curve Intake'!G$10))</f>
        <v>42.3</v>
      </c>
      <c r="H31" s="57">
        <f>$O$31*((('📋 Inputs'!$D$7/('📋 Inputs'!$D$6+'📋 Inputs'!$D$7))/12)+(('📋 Inputs'!$D$6/('📋 Inputs'!$D$6+'📋 Inputs'!$D$7))*'🐱 Cat Curve Intake'!H$10))</f>
        <v>42.3</v>
      </c>
      <c r="I31" s="57">
        <f>$O$31*((('📋 Inputs'!$D$7/('📋 Inputs'!$D$6+'📋 Inputs'!$D$7))/12)+(('📋 Inputs'!$D$6/('📋 Inputs'!$D$6+'📋 Inputs'!$D$7))*'🐱 Cat Curve Intake'!I$10))</f>
        <v>41.099999999999994</v>
      </c>
      <c r="J31" s="57">
        <f>$O$31*((('📋 Inputs'!$D$7/('📋 Inputs'!$D$6+'📋 Inputs'!$D$7))/12)+(('📋 Inputs'!$D$6/('📋 Inputs'!$D$6+'📋 Inputs'!$D$7))*'🐱 Cat Curve Intake'!J$10))</f>
        <v>40.199999999999996</v>
      </c>
      <c r="K31" s="57">
        <f>$O$31*((('📋 Inputs'!$D$7/('📋 Inputs'!$D$6+'📋 Inputs'!$D$7))/12)+(('📋 Inputs'!$D$6/('📋 Inputs'!$D$6+'📋 Inputs'!$D$7))*'🐱 Cat Curve Intake'!K$10))</f>
        <v>39.900000000000006</v>
      </c>
      <c r="L31" s="57">
        <f>$O$31*((('📋 Inputs'!$D$7/('📋 Inputs'!$D$6+'📋 Inputs'!$D$7))/12)+(('📋 Inputs'!$D$6/('📋 Inputs'!$D$6+'📋 Inputs'!$D$7))*'🐱 Cat Curve Intake'!L$10))</f>
        <v>39.900000000000006</v>
      </c>
      <c r="M31" s="57">
        <f>$O$31*((('📋 Inputs'!$D$7/('📋 Inputs'!$D$6+'📋 Inputs'!$D$7))/12)+(('📋 Inputs'!$D$6/('📋 Inputs'!$D$6+'📋 Inputs'!$D$7))*'🐱 Cat Curve Intake'!M$10))</f>
        <v>35.1</v>
      </c>
      <c r="N31" s="57">
        <f>$O$31*((('📋 Inputs'!$D$7/('📋 Inputs'!$D$6+'📋 Inputs'!$D$7))/12)+(('📋 Inputs'!$D$6/('📋 Inputs'!$D$6+'📋 Inputs'!$D$7))*'🐱 Cat Curve Intake'!N$10))</f>
        <v>33.299999999999997</v>
      </c>
      <c r="O31" s="58">
        <f>'📊 Budget Summary'!F48</f>
        <v>450</v>
      </c>
    </row>
    <row r="32" spans="2:15" ht="18" customHeight="1" x14ac:dyDescent="0.2">
      <c r="B32" s="8" t="s">
        <v>178</v>
      </c>
      <c r="C32" s="57">
        <f>$O$32*((('📋 Inputs'!$D$7/('📋 Inputs'!$D$6+'📋 Inputs'!$D$7))/12)+(('📋 Inputs'!$D$6/('📋 Inputs'!$D$6+'📋 Inputs'!$D$7))*'🐱 Cat Curve Intake'!C$10))</f>
        <v>38.879999999999995</v>
      </c>
      <c r="D32" s="57">
        <f>$O$32*((('📋 Inputs'!$D$7/('📋 Inputs'!$D$6+'📋 Inputs'!$D$7))/12)+(('📋 Inputs'!$D$6/('📋 Inputs'!$D$6+'📋 Inputs'!$D$7))*'🐱 Cat Curve Intake'!D$10))</f>
        <v>38.159999999999997</v>
      </c>
      <c r="E32" s="57">
        <f>$O$32*((('📋 Inputs'!$D$7/('📋 Inputs'!$D$6+'📋 Inputs'!$D$7))/12)+(('📋 Inputs'!$D$6/('📋 Inputs'!$D$6+'📋 Inputs'!$D$7))*'🐱 Cat Curve Intake'!E$10))</f>
        <v>40.68</v>
      </c>
      <c r="F32" s="57">
        <f>$O$32*((('📋 Inputs'!$D$7/('📋 Inputs'!$D$6+'📋 Inputs'!$D$7))/12)+(('📋 Inputs'!$D$6/('📋 Inputs'!$D$6+'📋 Inputs'!$D$7))*'🐱 Cat Curve Intake'!F$10))</f>
        <v>45.359999999999992</v>
      </c>
      <c r="G32" s="57">
        <f>$O$32*((('📋 Inputs'!$D$7/('📋 Inputs'!$D$6+'📋 Inputs'!$D$7))/12)+(('📋 Inputs'!$D$6/('📋 Inputs'!$D$6+'📋 Inputs'!$D$7))*'🐱 Cat Curve Intake'!G$10))</f>
        <v>50.76</v>
      </c>
      <c r="H32" s="57">
        <f>$O$32*((('📋 Inputs'!$D$7/('📋 Inputs'!$D$6+'📋 Inputs'!$D$7))/12)+(('📋 Inputs'!$D$6/('📋 Inputs'!$D$6+'📋 Inputs'!$D$7))*'🐱 Cat Curve Intake'!H$10))</f>
        <v>50.76</v>
      </c>
      <c r="I32" s="57">
        <f>$O$32*((('📋 Inputs'!$D$7/('📋 Inputs'!$D$6+'📋 Inputs'!$D$7))/12)+(('📋 Inputs'!$D$6/('📋 Inputs'!$D$6+'📋 Inputs'!$D$7))*'🐱 Cat Curve Intake'!I$10))</f>
        <v>49.319999999999993</v>
      </c>
      <c r="J32" s="57">
        <f>$O$32*((('📋 Inputs'!$D$7/('📋 Inputs'!$D$6+'📋 Inputs'!$D$7))/12)+(('📋 Inputs'!$D$6/('📋 Inputs'!$D$6+'📋 Inputs'!$D$7))*'🐱 Cat Curve Intake'!J$10))</f>
        <v>48.239999999999995</v>
      </c>
      <c r="K32" s="57">
        <f>$O$32*((('📋 Inputs'!$D$7/('📋 Inputs'!$D$6+'📋 Inputs'!$D$7))/12)+(('📋 Inputs'!$D$6/('📋 Inputs'!$D$6+'📋 Inputs'!$D$7))*'🐱 Cat Curve Intake'!K$10))</f>
        <v>47.88</v>
      </c>
      <c r="L32" s="57">
        <f>$O$32*((('📋 Inputs'!$D$7/('📋 Inputs'!$D$6+'📋 Inputs'!$D$7))/12)+(('📋 Inputs'!$D$6/('📋 Inputs'!$D$6+'📋 Inputs'!$D$7))*'🐱 Cat Curve Intake'!L$10))</f>
        <v>47.88</v>
      </c>
      <c r="M32" s="57">
        <f>$O$32*((('📋 Inputs'!$D$7/('📋 Inputs'!$D$6+'📋 Inputs'!$D$7))/12)+(('📋 Inputs'!$D$6/('📋 Inputs'!$D$6+'📋 Inputs'!$D$7))*'🐱 Cat Curve Intake'!M$10))</f>
        <v>42.12</v>
      </c>
      <c r="N32" s="57">
        <f>$O$32*((('📋 Inputs'!$D$7/('📋 Inputs'!$D$6+'📋 Inputs'!$D$7))/12)+(('📋 Inputs'!$D$6/('📋 Inputs'!$D$6+'📋 Inputs'!$D$7))*'🐱 Cat Curve Intake'!N$10))</f>
        <v>39.96</v>
      </c>
      <c r="O32" s="58">
        <f>'📊 Budget Summary'!F49</f>
        <v>540</v>
      </c>
    </row>
    <row r="33" spans="2:15" ht="18" customHeight="1" x14ac:dyDescent="0.2">
      <c r="B33" s="8" t="s">
        <v>179</v>
      </c>
      <c r="C33" s="57">
        <f>$O$33*((('📋 Inputs'!$D$7/('📋 Inputs'!$D$6+'📋 Inputs'!$D$7))/12)+(('📋 Inputs'!$D$6/('📋 Inputs'!$D$6+'📋 Inputs'!$D$7))*'🐱 Cat Curve Intake'!C$10))</f>
        <v>38.879999999999995</v>
      </c>
      <c r="D33" s="57">
        <f>$O$33*((('📋 Inputs'!$D$7/('📋 Inputs'!$D$6+'📋 Inputs'!$D$7))/12)+(('📋 Inputs'!$D$6/('📋 Inputs'!$D$6+'📋 Inputs'!$D$7))*'🐱 Cat Curve Intake'!D$10))</f>
        <v>38.159999999999997</v>
      </c>
      <c r="E33" s="57">
        <f>$O$33*((('📋 Inputs'!$D$7/('📋 Inputs'!$D$6+'📋 Inputs'!$D$7))/12)+(('📋 Inputs'!$D$6/('📋 Inputs'!$D$6+'📋 Inputs'!$D$7))*'🐱 Cat Curve Intake'!E$10))</f>
        <v>40.68</v>
      </c>
      <c r="F33" s="57">
        <f>$O$33*((('📋 Inputs'!$D$7/('📋 Inputs'!$D$6+'📋 Inputs'!$D$7))/12)+(('📋 Inputs'!$D$6/('📋 Inputs'!$D$6+'📋 Inputs'!$D$7))*'🐱 Cat Curve Intake'!F$10))</f>
        <v>45.359999999999992</v>
      </c>
      <c r="G33" s="57">
        <f>$O$33*((('📋 Inputs'!$D$7/('📋 Inputs'!$D$6+'📋 Inputs'!$D$7))/12)+(('📋 Inputs'!$D$6/('📋 Inputs'!$D$6+'📋 Inputs'!$D$7))*'🐱 Cat Curve Intake'!G$10))</f>
        <v>50.76</v>
      </c>
      <c r="H33" s="57">
        <f>$O$33*((('📋 Inputs'!$D$7/('📋 Inputs'!$D$6+'📋 Inputs'!$D$7))/12)+(('📋 Inputs'!$D$6/('📋 Inputs'!$D$6+'📋 Inputs'!$D$7))*'🐱 Cat Curve Intake'!H$10))</f>
        <v>50.76</v>
      </c>
      <c r="I33" s="57">
        <f>$O$33*((('📋 Inputs'!$D$7/('📋 Inputs'!$D$6+'📋 Inputs'!$D$7))/12)+(('📋 Inputs'!$D$6/('📋 Inputs'!$D$6+'📋 Inputs'!$D$7))*'🐱 Cat Curve Intake'!I$10))</f>
        <v>49.319999999999993</v>
      </c>
      <c r="J33" s="57">
        <f>$O$33*((('📋 Inputs'!$D$7/('📋 Inputs'!$D$6+'📋 Inputs'!$D$7))/12)+(('📋 Inputs'!$D$6/('📋 Inputs'!$D$6+'📋 Inputs'!$D$7))*'🐱 Cat Curve Intake'!J$10))</f>
        <v>48.239999999999995</v>
      </c>
      <c r="K33" s="57">
        <f>$O$33*((('📋 Inputs'!$D$7/('📋 Inputs'!$D$6+'📋 Inputs'!$D$7))/12)+(('📋 Inputs'!$D$6/('📋 Inputs'!$D$6+'📋 Inputs'!$D$7))*'🐱 Cat Curve Intake'!K$10))</f>
        <v>47.88</v>
      </c>
      <c r="L33" s="57">
        <f>$O$33*((('📋 Inputs'!$D$7/('📋 Inputs'!$D$6+'📋 Inputs'!$D$7))/12)+(('📋 Inputs'!$D$6/('📋 Inputs'!$D$6+'📋 Inputs'!$D$7))*'🐱 Cat Curve Intake'!L$10))</f>
        <v>47.88</v>
      </c>
      <c r="M33" s="57">
        <f>$O$33*((('📋 Inputs'!$D$7/('📋 Inputs'!$D$6+'📋 Inputs'!$D$7))/12)+(('📋 Inputs'!$D$6/('📋 Inputs'!$D$6+'📋 Inputs'!$D$7))*'🐱 Cat Curve Intake'!M$10))</f>
        <v>42.12</v>
      </c>
      <c r="N33" s="57">
        <f>$O$33*((('📋 Inputs'!$D$7/('📋 Inputs'!$D$6+'📋 Inputs'!$D$7))/12)+(('📋 Inputs'!$D$6/('📋 Inputs'!$D$6+'📋 Inputs'!$D$7))*'🐱 Cat Curve Intake'!N$10))</f>
        <v>39.96</v>
      </c>
      <c r="O33" s="58">
        <f>'📊 Budget Summary'!F50</f>
        <v>540</v>
      </c>
    </row>
    <row r="34" spans="2:15" ht="16.5" customHeight="1" x14ac:dyDescent="0.2">
      <c r="B34" s="55" t="s">
        <v>65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6">
        <f>SUM(O35:O38)</f>
        <v>12240</v>
      </c>
    </row>
    <row r="35" spans="2:15" ht="18" customHeight="1" x14ac:dyDescent="0.2">
      <c r="B35" s="17" t="s">
        <v>184</v>
      </c>
      <c r="C35" s="59">
        <f>$O$35*((('📋 Inputs'!$D$7/('📋 Inputs'!$D$6+'📋 Inputs'!$D$7))/12)+(('📋 Inputs'!$D$6/('📋 Inputs'!$D$6+'📋 Inputs'!$D$7))*'🐱 Cat Curve Intake'!C$10))</f>
        <v>270</v>
      </c>
      <c r="D35" s="59">
        <f>$O$35*((('📋 Inputs'!$D$7/('📋 Inputs'!$D$6+'📋 Inputs'!$D$7))/12)+(('📋 Inputs'!$D$6/('📋 Inputs'!$D$6+'📋 Inputs'!$D$7))*'🐱 Cat Curve Intake'!D$10))</f>
        <v>264.99999999999994</v>
      </c>
      <c r="E35" s="59">
        <f>$O$35*((('📋 Inputs'!$D$7/('📋 Inputs'!$D$6+'📋 Inputs'!$D$7))/12)+(('📋 Inputs'!$D$6/('📋 Inputs'!$D$6+'📋 Inputs'!$D$7))*'🐱 Cat Curve Intake'!E$10))</f>
        <v>282.5</v>
      </c>
      <c r="F35" s="59">
        <f>$O$35*((('📋 Inputs'!$D$7/('📋 Inputs'!$D$6+'📋 Inputs'!$D$7))/12)+(('📋 Inputs'!$D$6/('📋 Inputs'!$D$6+'📋 Inputs'!$D$7))*'🐱 Cat Curve Intake'!F$10))</f>
        <v>314.99999999999994</v>
      </c>
      <c r="G35" s="59">
        <f>$O$35*((('📋 Inputs'!$D$7/('📋 Inputs'!$D$6+'📋 Inputs'!$D$7))/12)+(('📋 Inputs'!$D$6/('📋 Inputs'!$D$6+'📋 Inputs'!$D$7))*'🐱 Cat Curve Intake'!G$10))</f>
        <v>352.5</v>
      </c>
      <c r="H35" s="59">
        <f>$O$35*((('📋 Inputs'!$D$7/('📋 Inputs'!$D$6+'📋 Inputs'!$D$7))/12)+(('📋 Inputs'!$D$6/('📋 Inputs'!$D$6+'📋 Inputs'!$D$7))*'🐱 Cat Curve Intake'!H$10))</f>
        <v>352.5</v>
      </c>
      <c r="I35" s="59">
        <f>$O$35*((('📋 Inputs'!$D$7/('📋 Inputs'!$D$6+'📋 Inputs'!$D$7))/12)+(('📋 Inputs'!$D$6/('📋 Inputs'!$D$6+'📋 Inputs'!$D$7))*'🐱 Cat Curve Intake'!I$10))</f>
        <v>342.49999999999994</v>
      </c>
      <c r="J35" s="59">
        <f>$O$35*((('📋 Inputs'!$D$7/('📋 Inputs'!$D$6+'📋 Inputs'!$D$7))/12)+(('📋 Inputs'!$D$6/('📋 Inputs'!$D$6+'📋 Inputs'!$D$7))*'🐱 Cat Curve Intake'!J$10))</f>
        <v>334.99999999999994</v>
      </c>
      <c r="K35" s="59">
        <f>$O$35*((('📋 Inputs'!$D$7/('📋 Inputs'!$D$6+'📋 Inputs'!$D$7))/12)+(('📋 Inputs'!$D$6/('📋 Inputs'!$D$6+'📋 Inputs'!$D$7))*'🐱 Cat Curve Intake'!K$10))</f>
        <v>332.5</v>
      </c>
      <c r="L35" s="59">
        <f>$O$35*((('📋 Inputs'!$D$7/('📋 Inputs'!$D$6+'📋 Inputs'!$D$7))/12)+(('📋 Inputs'!$D$6/('📋 Inputs'!$D$6+'📋 Inputs'!$D$7))*'🐱 Cat Curve Intake'!L$10))</f>
        <v>332.5</v>
      </c>
      <c r="M35" s="59">
        <f>$O$35*((('📋 Inputs'!$D$7/('📋 Inputs'!$D$6+'📋 Inputs'!$D$7))/12)+(('📋 Inputs'!$D$6/('📋 Inputs'!$D$6+'📋 Inputs'!$D$7))*'🐱 Cat Curve Intake'!M$10))</f>
        <v>292.5</v>
      </c>
      <c r="N35" s="59">
        <f>$O$35*((('📋 Inputs'!$D$7/('📋 Inputs'!$D$6+'📋 Inputs'!$D$7))/12)+(('📋 Inputs'!$D$6/('📋 Inputs'!$D$6+'📋 Inputs'!$D$7))*'🐱 Cat Curve Intake'!N$10))</f>
        <v>277.5</v>
      </c>
      <c r="O35" s="60">
        <f>'📊 Budget Summary'!F57</f>
        <v>3750</v>
      </c>
    </row>
    <row r="36" spans="2:15" ht="18" customHeight="1" x14ac:dyDescent="0.2">
      <c r="B36" s="17" t="s">
        <v>185</v>
      </c>
      <c r="C36" s="59">
        <f>$O$36*((('📋 Inputs'!$D$7/('📋 Inputs'!$D$6+'📋 Inputs'!$D$7))/12)+(('📋 Inputs'!$D$6/('📋 Inputs'!$D$6+'📋 Inputs'!$D$7))*'🐱 Cat Curve Intake'!C$10))</f>
        <v>270</v>
      </c>
      <c r="D36" s="59">
        <f>$O$36*((('📋 Inputs'!$D$7/('📋 Inputs'!$D$6+'📋 Inputs'!$D$7))/12)+(('📋 Inputs'!$D$6/('📋 Inputs'!$D$6+'📋 Inputs'!$D$7))*'🐱 Cat Curve Intake'!D$10))</f>
        <v>264.99999999999994</v>
      </c>
      <c r="E36" s="59">
        <f>$O$36*((('📋 Inputs'!$D$7/('📋 Inputs'!$D$6+'📋 Inputs'!$D$7))/12)+(('📋 Inputs'!$D$6/('📋 Inputs'!$D$6+'📋 Inputs'!$D$7))*'🐱 Cat Curve Intake'!E$10))</f>
        <v>282.5</v>
      </c>
      <c r="F36" s="59">
        <f>$O$36*((('📋 Inputs'!$D$7/('📋 Inputs'!$D$6+'📋 Inputs'!$D$7))/12)+(('📋 Inputs'!$D$6/('📋 Inputs'!$D$6+'📋 Inputs'!$D$7))*'🐱 Cat Curve Intake'!F$10))</f>
        <v>314.99999999999994</v>
      </c>
      <c r="G36" s="59">
        <f>$O$36*((('📋 Inputs'!$D$7/('📋 Inputs'!$D$6+'📋 Inputs'!$D$7))/12)+(('📋 Inputs'!$D$6/('📋 Inputs'!$D$6+'📋 Inputs'!$D$7))*'🐱 Cat Curve Intake'!G$10))</f>
        <v>352.5</v>
      </c>
      <c r="H36" s="59">
        <f>$O$36*((('📋 Inputs'!$D$7/('📋 Inputs'!$D$6+'📋 Inputs'!$D$7))/12)+(('📋 Inputs'!$D$6/('📋 Inputs'!$D$6+'📋 Inputs'!$D$7))*'🐱 Cat Curve Intake'!H$10))</f>
        <v>352.5</v>
      </c>
      <c r="I36" s="59">
        <f>$O$36*((('📋 Inputs'!$D$7/('📋 Inputs'!$D$6+'📋 Inputs'!$D$7))/12)+(('📋 Inputs'!$D$6/('📋 Inputs'!$D$6+'📋 Inputs'!$D$7))*'🐱 Cat Curve Intake'!I$10))</f>
        <v>342.49999999999994</v>
      </c>
      <c r="J36" s="59">
        <f>$O$36*((('📋 Inputs'!$D$7/('📋 Inputs'!$D$6+'📋 Inputs'!$D$7))/12)+(('📋 Inputs'!$D$6/('📋 Inputs'!$D$6+'📋 Inputs'!$D$7))*'🐱 Cat Curve Intake'!J$10))</f>
        <v>334.99999999999994</v>
      </c>
      <c r="K36" s="59">
        <f>$O$36*((('📋 Inputs'!$D$7/('📋 Inputs'!$D$6+'📋 Inputs'!$D$7))/12)+(('📋 Inputs'!$D$6/('📋 Inputs'!$D$6+'📋 Inputs'!$D$7))*'🐱 Cat Curve Intake'!K$10))</f>
        <v>332.5</v>
      </c>
      <c r="L36" s="59">
        <f>$O$36*((('📋 Inputs'!$D$7/('📋 Inputs'!$D$6+'📋 Inputs'!$D$7))/12)+(('📋 Inputs'!$D$6/('📋 Inputs'!$D$6+'📋 Inputs'!$D$7))*'🐱 Cat Curve Intake'!L$10))</f>
        <v>332.5</v>
      </c>
      <c r="M36" s="59">
        <f>$O$36*((('📋 Inputs'!$D$7/('📋 Inputs'!$D$6+'📋 Inputs'!$D$7))/12)+(('📋 Inputs'!$D$6/('📋 Inputs'!$D$6+'📋 Inputs'!$D$7))*'🐱 Cat Curve Intake'!M$10))</f>
        <v>292.5</v>
      </c>
      <c r="N36" s="59">
        <f>$O$36*((('📋 Inputs'!$D$7/('📋 Inputs'!$D$6+'📋 Inputs'!$D$7))/12)+(('📋 Inputs'!$D$6/('📋 Inputs'!$D$6+'📋 Inputs'!$D$7))*'🐱 Cat Curve Intake'!N$10))</f>
        <v>277.5</v>
      </c>
      <c r="O36" s="60">
        <f>'📊 Budget Summary'!F58</f>
        <v>3750</v>
      </c>
    </row>
    <row r="37" spans="2:15" ht="18" customHeight="1" x14ac:dyDescent="0.2">
      <c r="B37" s="17" t="s">
        <v>186</v>
      </c>
      <c r="C37" s="59">
        <f>$O$37*((('📋 Inputs'!$D$7/('📋 Inputs'!$D$6+'📋 Inputs'!$D$7))/12)+(('📋 Inputs'!$D$6/('📋 Inputs'!$D$6+'📋 Inputs'!$D$7))*'🐱 Cat Curve Intake'!C$10))</f>
        <v>233.27999999999997</v>
      </c>
      <c r="D37" s="59">
        <f>$O$37*((('📋 Inputs'!$D$7/('📋 Inputs'!$D$6+'📋 Inputs'!$D$7))/12)+(('📋 Inputs'!$D$6/('📋 Inputs'!$D$6+'📋 Inputs'!$D$7))*'🐱 Cat Curve Intake'!D$10))</f>
        <v>228.95999999999995</v>
      </c>
      <c r="E37" s="59">
        <f>$O$37*((('📋 Inputs'!$D$7/('📋 Inputs'!$D$6+'📋 Inputs'!$D$7))/12)+(('📋 Inputs'!$D$6/('📋 Inputs'!$D$6+'📋 Inputs'!$D$7))*'🐱 Cat Curve Intake'!E$10))</f>
        <v>244.08</v>
      </c>
      <c r="F37" s="59">
        <f>$O$37*((('📋 Inputs'!$D$7/('📋 Inputs'!$D$6+'📋 Inputs'!$D$7))/12)+(('📋 Inputs'!$D$6/('📋 Inputs'!$D$6+'📋 Inputs'!$D$7))*'🐱 Cat Curve Intake'!F$10))</f>
        <v>272.15999999999997</v>
      </c>
      <c r="G37" s="59">
        <f>$O$37*((('📋 Inputs'!$D$7/('📋 Inputs'!$D$6+'📋 Inputs'!$D$7))/12)+(('📋 Inputs'!$D$6/('📋 Inputs'!$D$6+'📋 Inputs'!$D$7))*'🐱 Cat Curve Intake'!G$10))</f>
        <v>304.56</v>
      </c>
      <c r="H37" s="59">
        <f>$O$37*((('📋 Inputs'!$D$7/('📋 Inputs'!$D$6+'📋 Inputs'!$D$7))/12)+(('📋 Inputs'!$D$6/('📋 Inputs'!$D$6+'📋 Inputs'!$D$7))*'🐱 Cat Curve Intake'!H$10))</f>
        <v>304.56</v>
      </c>
      <c r="I37" s="59">
        <f>$O$37*((('📋 Inputs'!$D$7/('📋 Inputs'!$D$6+'📋 Inputs'!$D$7))/12)+(('📋 Inputs'!$D$6/('📋 Inputs'!$D$6+'📋 Inputs'!$D$7))*'🐱 Cat Curve Intake'!I$10))</f>
        <v>295.91999999999996</v>
      </c>
      <c r="J37" s="59">
        <f>$O$37*((('📋 Inputs'!$D$7/('📋 Inputs'!$D$6+'📋 Inputs'!$D$7))/12)+(('📋 Inputs'!$D$6/('📋 Inputs'!$D$6+'📋 Inputs'!$D$7))*'🐱 Cat Curve Intake'!J$10))</f>
        <v>289.43999999999994</v>
      </c>
      <c r="K37" s="59">
        <f>$O$37*((('📋 Inputs'!$D$7/('📋 Inputs'!$D$6+'📋 Inputs'!$D$7))/12)+(('📋 Inputs'!$D$6/('📋 Inputs'!$D$6+'📋 Inputs'!$D$7))*'🐱 Cat Curve Intake'!K$10))</f>
        <v>287.28000000000003</v>
      </c>
      <c r="L37" s="59">
        <f>$O$37*((('📋 Inputs'!$D$7/('📋 Inputs'!$D$6+'📋 Inputs'!$D$7))/12)+(('📋 Inputs'!$D$6/('📋 Inputs'!$D$6+'📋 Inputs'!$D$7))*'🐱 Cat Curve Intake'!L$10))</f>
        <v>287.28000000000003</v>
      </c>
      <c r="M37" s="59">
        <f>$O$37*((('📋 Inputs'!$D$7/('📋 Inputs'!$D$6+'📋 Inputs'!$D$7))/12)+(('📋 Inputs'!$D$6/('📋 Inputs'!$D$6+'📋 Inputs'!$D$7))*'🐱 Cat Curve Intake'!M$10))</f>
        <v>252.72</v>
      </c>
      <c r="N37" s="59">
        <f>$O$37*((('📋 Inputs'!$D$7/('📋 Inputs'!$D$6+'📋 Inputs'!$D$7))/12)+(('📋 Inputs'!$D$6/('📋 Inputs'!$D$6+'📋 Inputs'!$D$7))*'🐱 Cat Curve Intake'!N$10))</f>
        <v>239.76</v>
      </c>
      <c r="O37" s="60">
        <f>'📊 Budget Summary'!F59</f>
        <v>3240</v>
      </c>
    </row>
    <row r="38" spans="2:15" ht="18" customHeight="1" x14ac:dyDescent="0.2">
      <c r="B38" s="22" t="s">
        <v>187</v>
      </c>
      <c r="C38" s="61">
        <f>$O$38*'🐱 Cat Curve Intake'!C10</f>
        <v>82.5</v>
      </c>
      <c r="D38" s="61">
        <f>$O$38*'🐱 Cat Curve Intake'!D10</f>
        <v>77.5</v>
      </c>
      <c r="E38" s="61">
        <f>$O$38*'🐱 Cat Curve Intake'!E10</f>
        <v>95.000000000000014</v>
      </c>
      <c r="F38" s="61">
        <f>$O$38*'🐱 Cat Curve Intake'!F10</f>
        <v>127.50000000000001</v>
      </c>
      <c r="G38" s="61">
        <f>$O$38*'🐱 Cat Curve Intake'!G10</f>
        <v>165</v>
      </c>
      <c r="H38" s="61">
        <f>$O$38*'🐱 Cat Curve Intake'!H10</f>
        <v>165</v>
      </c>
      <c r="I38" s="61">
        <f>$O$38*'🐱 Cat Curve Intake'!I10</f>
        <v>155</v>
      </c>
      <c r="J38" s="61">
        <f>$O$38*'🐱 Cat Curve Intake'!J10</f>
        <v>147.5</v>
      </c>
      <c r="K38" s="61">
        <f>$O$38*'🐱 Cat Curve Intake'!K10</f>
        <v>145</v>
      </c>
      <c r="L38" s="61">
        <f>$O$38*'🐱 Cat Curve Intake'!L10</f>
        <v>145</v>
      </c>
      <c r="M38" s="61">
        <f>$O$38*'🐱 Cat Curve Intake'!M10</f>
        <v>105.00000000000001</v>
      </c>
      <c r="N38" s="61">
        <f>$O$38*'🐱 Cat Curve Intake'!N10</f>
        <v>90</v>
      </c>
      <c r="O38" s="62">
        <f>'📊 Budget Summary'!F60</f>
        <v>1500</v>
      </c>
    </row>
    <row r="39" spans="2:15" ht="16.5" customHeight="1" x14ac:dyDescent="0.2">
      <c r="B39" s="55" t="s">
        <v>70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6">
        <f>SUM(O40:O42)</f>
        <v>18645</v>
      </c>
    </row>
    <row r="40" spans="2:15" ht="18" customHeight="1" x14ac:dyDescent="0.2">
      <c r="B40" s="17" t="s">
        <v>189</v>
      </c>
      <c r="C40" s="59">
        <f>IFERROR('📊 Budget Summary'!F64/12,0)</f>
        <v>300</v>
      </c>
      <c r="D40" s="59">
        <f>IFERROR('📊 Budget Summary'!F64/12,0)</f>
        <v>300</v>
      </c>
      <c r="E40" s="59">
        <f>IFERROR('📊 Budget Summary'!F64/12,0)</f>
        <v>300</v>
      </c>
      <c r="F40" s="59">
        <f>IFERROR('📊 Budget Summary'!F64/12,0)</f>
        <v>300</v>
      </c>
      <c r="G40" s="59">
        <f>IFERROR('📊 Budget Summary'!F64/12,0)</f>
        <v>300</v>
      </c>
      <c r="H40" s="59">
        <f>IFERROR('📊 Budget Summary'!F64/12,0)</f>
        <v>300</v>
      </c>
      <c r="I40" s="59">
        <f>IFERROR('📊 Budget Summary'!F64/12,0)</f>
        <v>300</v>
      </c>
      <c r="J40" s="59">
        <f>IFERROR('📊 Budget Summary'!F64/12,0)</f>
        <v>300</v>
      </c>
      <c r="K40" s="59">
        <f>IFERROR('📊 Budget Summary'!F64/12,0)</f>
        <v>300</v>
      </c>
      <c r="L40" s="59">
        <f>IFERROR('📊 Budget Summary'!F64/12,0)</f>
        <v>300</v>
      </c>
      <c r="M40" s="59">
        <f>IFERROR('📊 Budget Summary'!F64/12,0)</f>
        <v>300</v>
      </c>
      <c r="N40" s="59">
        <f>IFERROR('📊 Budget Summary'!F64/12,0)</f>
        <v>300</v>
      </c>
      <c r="O40" s="60">
        <f>'📊 Budget Summary'!F64</f>
        <v>3600</v>
      </c>
    </row>
    <row r="41" spans="2:15" ht="18" customHeight="1" x14ac:dyDescent="0.2">
      <c r="B41" s="8" t="s">
        <v>190</v>
      </c>
      <c r="C41" s="57">
        <f>$O$41*((('📋 Inputs'!$D$7/('📋 Inputs'!$D$6+'📋 Inputs'!$D$7))/12)+(('📋 Inputs'!$D$6/('📋 Inputs'!$D$6+'📋 Inputs'!$D$7))*'🐱 Cat Curve Intake'!C$10))</f>
        <v>309.95999999999998</v>
      </c>
      <c r="D41" s="57">
        <f>$O$41*((('📋 Inputs'!$D$7/('📋 Inputs'!$D$6+'📋 Inputs'!$D$7))/12)+(('📋 Inputs'!$D$6/('📋 Inputs'!$D$6+'📋 Inputs'!$D$7))*'🐱 Cat Curve Intake'!D$10))</f>
        <v>304.21999999999997</v>
      </c>
      <c r="E41" s="57">
        <f>$O$41*((('📋 Inputs'!$D$7/('📋 Inputs'!$D$6+'📋 Inputs'!$D$7))/12)+(('📋 Inputs'!$D$6/('📋 Inputs'!$D$6+'📋 Inputs'!$D$7))*'🐱 Cat Curve Intake'!E$10))</f>
        <v>324.31</v>
      </c>
      <c r="F41" s="57">
        <f>$O$41*((('📋 Inputs'!$D$7/('📋 Inputs'!$D$6+'📋 Inputs'!$D$7))/12)+(('📋 Inputs'!$D$6/('📋 Inputs'!$D$6+'📋 Inputs'!$D$7))*'🐱 Cat Curve Intake'!F$10))</f>
        <v>361.61999999999995</v>
      </c>
      <c r="G41" s="57">
        <f>$O$41*((('📋 Inputs'!$D$7/('📋 Inputs'!$D$6+'📋 Inputs'!$D$7))/12)+(('📋 Inputs'!$D$6/('📋 Inputs'!$D$6+'📋 Inputs'!$D$7))*'🐱 Cat Curve Intake'!G$10))</f>
        <v>404.67</v>
      </c>
      <c r="H41" s="57">
        <f>$O$41*((('📋 Inputs'!$D$7/('📋 Inputs'!$D$6+'📋 Inputs'!$D$7))/12)+(('📋 Inputs'!$D$6/('📋 Inputs'!$D$6+'📋 Inputs'!$D$7))*'🐱 Cat Curve Intake'!H$10))</f>
        <v>404.67</v>
      </c>
      <c r="I41" s="57">
        <f>$O$41*((('📋 Inputs'!$D$7/('📋 Inputs'!$D$6+'📋 Inputs'!$D$7))/12)+(('📋 Inputs'!$D$6/('📋 Inputs'!$D$6+'📋 Inputs'!$D$7))*'🐱 Cat Curve Intake'!I$10))</f>
        <v>393.18999999999994</v>
      </c>
      <c r="J41" s="57">
        <f>$O$41*((('📋 Inputs'!$D$7/('📋 Inputs'!$D$6+'📋 Inputs'!$D$7))/12)+(('📋 Inputs'!$D$6/('📋 Inputs'!$D$6+'📋 Inputs'!$D$7))*'🐱 Cat Curve Intake'!J$10))</f>
        <v>384.57999999999993</v>
      </c>
      <c r="K41" s="57">
        <f>$O$41*((('📋 Inputs'!$D$7/('📋 Inputs'!$D$6+'📋 Inputs'!$D$7))/12)+(('📋 Inputs'!$D$6/('📋 Inputs'!$D$6+'📋 Inputs'!$D$7))*'🐱 Cat Curve Intake'!K$10))</f>
        <v>381.71000000000004</v>
      </c>
      <c r="L41" s="57">
        <f>$O$41*((('📋 Inputs'!$D$7/('📋 Inputs'!$D$6+'📋 Inputs'!$D$7))/12)+(('📋 Inputs'!$D$6/('📋 Inputs'!$D$6+'📋 Inputs'!$D$7))*'🐱 Cat Curve Intake'!L$10))</f>
        <v>381.71000000000004</v>
      </c>
      <c r="M41" s="57">
        <f>$O$41*((('📋 Inputs'!$D$7/('📋 Inputs'!$D$6+'📋 Inputs'!$D$7))/12)+(('📋 Inputs'!$D$6/('📋 Inputs'!$D$6+'📋 Inputs'!$D$7))*'🐱 Cat Curve Intake'!M$10))</f>
        <v>335.79</v>
      </c>
      <c r="N41" s="57">
        <f>$O$41*((('📋 Inputs'!$D$7/('📋 Inputs'!$D$6+'📋 Inputs'!$D$7))/12)+(('📋 Inputs'!$D$6/('📋 Inputs'!$D$6+'📋 Inputs'!$D$7))*'🐱 Cat Curve Intake'!N$10))</f>
        <v>318.57</v>
      </c>
      <c r="O41" s="58">
        <f>'📊 Budget Summary'!F65</f>
        <v>4305</v>
      </c>
    </row>
    <row r="42" spans="2:15" ht="18" customHeight="1" x14ac:dyDescent="0.2">
      <c r="B42" s="8" t="s">
        <v>191</v>
      </c>
      <c r="C42" s="57">
        <f>$O$42*((('📋 Inputs'!$D$7/('📋 Inputs'!$D$6+'📋 Inputs'!$D$7))/12)+(('📋 Inputs'!$D$6/('📋 Inputs'!$D$6+'📋 Inputs'!$D$7))*'🐱 Cat Curve Intake'!C$10))</f>
        <v>773.28</v>
      </c>
      <c r="D42" s="57">
        <f>$O$42*((('📋 Inputs'!$D$7/('📋 Inputs'!$D$6+'📋 Inputs'!$D$7))/12)+(('📋 Inputs'!$D$6/('📋 Inputs'!$D$6+'📋 Inputs'!$D$7))*'🐱 Cat Curve Intake'!D$10))</f>
        <v>758.95999999999992</v>
      </c>
      <c r="E42" s="57">
        <f>$O$42*((('📋 Inputs'!$D$7/('📋 Inputs'!$D$6+'📋 Inputs'!$D$7))/12)+(('📋 Inputs'!$D$6/('📋 Inputs'!$D$6+'📋 Inputs'!$D$7))*'🐱 Cat Curve Intake'!E$10))</f>
        <v>809.08</v>
      </c>
      <c r="F42" s="57">
        <f>$O$42*((('📋 Inputs'!$D$7/('📋 Inputs'!$D$6+'📋 Inputs'!$D$7))/12)+(('📋 Inputs'!$D$6/('📋 Inputs'!$D$6+'📋 Inputs'!$D$7))*'🐱 Cat Curve Intake'!F$10))</f>
        <v>902.15999999999985</v>
      </c>
      <c r="G42" s="57">
        <f>$O$42*((('📋 Inputs'!$D$7/('📋 Inputs'!$D$6+'📋 Inputs'!$D$7))/12)+(('📋 Inputs'!$D$6/('📋 Inputs'!$D$6+'📋 Inputs'!$D$7))*'🐱 Cat Curve Intake'!G$10))</f>
        <v>1009.5600000000001</v>
      </c>
      <c r="H42" s="57">
        <f>$O$42*((('📋 Inputs'!$D$7/('📋 Inputs'!$D$6+'📋 Inputs'!$D$7))/12)+(('📋 Inputs'!$D$6/('📋 Inputs'!$D$6+'📋 Inputs'!$D$7))*'🐱 Cat Curve Intake'!H$10))</f>
        <v>1009.5600000000001</v>
      </c>
      <c r="I42" s="57">
        <f>$O$42*((('📋 Inputs'!$D$7/('📋 Inputs'!$D$6+'📋 Inputs'!$D$7))/12)+(('📋 Inputs'!$D$6/('📋 Inputs'!$D$6+'📋 Inputs'!$D$7))*'🐱 Cat Curve Intake'!I$10))</f>
        <v>980.91999999999985</v>
      </c>
      <c r="J42" s="57">
        <f>$O$42*((('📋 Inputs'!$D$7/('📋 Inputs'!$D$6+'📋 Inputs'!$D$7))/12)+(('📋 Inputs'!$D$6/('📋 Inputs'!$D$6+'📋 Inputs'!$D$7))*'🐱 Cat Curve Intake'!J$10))</f>
        <v>959.43999999999983</v>
      </c>
      <c r="K42" s="57">
        <f>$O$42*((('📋 Inputs'!$D$7/('📋 Inputs'!$D$6+'📋 Inputs'!$D$7))/12)+(('📋 Inputs'!$D$6/('📋 Inputs'!$D$6+'📋 Inputs'!$D$7))*'🐱 Cat Curve Intake'!K$10))</f>
        <v>952.28000000000009</v>
      </c>
      <c r="L42" s="57">
        <f>$O$42*((('📋 Inputs'!$D$7/('📋 Inputs'!$D$6+'📋 Inputs'!$D$7))/12)+(('📋 Inputs'!$D$6/('📋 Inputs'!$D$6+'📋 Inputs'!$D$7))*'🐱 Cat Curve Intake'!L$10))</f>
        <v>952.28000000000009</v>
      </c>
      <c r="M42" s="57">
        <f>$O$42*((('📋 Inputs'!$D$7/('📋 Inputs'!$D$6+'📋 Inputs'!$D$7))/12)+(('📋 Inputs'!$D$6/('📋 Inputs'!$D$6+'📋 Inputs'!$D$7))*'🐱 Cat Curve Intake'!M$10))</f>
        <v>837.72</v>
      </c>
      <c r="N42" s="57">
        <f>$O$42*((('📋 Inputs'!$D$7/('📋 Inputs'!$D$6+'📋 Inputs'!$D$7))/12)+(('📋 Inputs'!$D$6/('📋 Inputs'!$D$6+'📋 Inputs'!$D$7))*'🐱 Cat Curve Intake'!N$10))</f>
        <v>794.76</v>
      </c>
      <c r="O42" s="58">
        <f>'📊 Budget Summary'!F66</f>
        <v>10740</v>
      </c>
    </row>
    <row r="43" spans="2:15" ht="16.5" customHeight="1" x14ac:dyDescent="0.2">
      <c r="B43" s="55" t="s">
        <v>287</v>
      </c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6">
        <f>SUM(O44:O45)</f>
        <v>135000</v>
      </c>
    </row>
    <row r="44" spans="2:15" ht="18" customHeight="1" x14ac:dyDescent="0.2">
      <c r="B44" s="8" t="s">
        <v>193</v>
      </c>
      <c r="C44" s="57">
        <f>$O$44*((('📋 Inputs'!$D$7/('📋 Inputs'!$D$6+'📋 Inputs'!$D$7))/12)+(('📋 Inputs'!$D$6/('📋 Inputs'!$D$6+'📋 Inputs'!$D$7))*'🐱 Cat Curve Intake'!C$10))</f>
        <v>1619.9999999999998</v>
      </c>
      <c r="D44" s="57">
        <f>$O$44*((('📋 Inputs'!$D$7/('📋 Inputs'!$D$6+'📋 Inputs'!$D$7))/12)+(('📋 Inputs'!$D$6/('📋 Inputs'!$D$6+'📋 Inputs'!$D$7))*'🐱 Cat Curve Intake'!D$10))</f>
        <v>1589.9999999999998</v>
      </c>
      <c r="E44" s="57">
        <f>$O$44*((('📋 Inputs'!$D$7/('📋 Inputs'!$D$6+'📋 Inputs'!$D$7))/12)+(('📋 Inputs'!$D$6/('📋 Inputs'!$D$6+'📋 Inputs'!$D$7))*'🐱 Cat Curve Intake'!E$10))</f>
        <v>1695</v>
      </c>
      <c r="F44" s="57">
        <f>$O$44*((('📋 Inputs'!$D$7/('📋 Inputs'!$D$6+'📋 Inputs'!$D$7))/12)+(('📋 Inputs'!$D$6/('📋 Inputs'!$D$6+'📋 Inputs'!$D$7))*'🐱 Cat Curve Intake'!F$10))</f>
        <v>1889.9999999999998</v>
      </c>
      <c r="G44" s="57">
        <f>$O$44*((('📋 Inputs'!$D$7/('📋 Inputs'!$D$6+'📋 Inputs'!$D$7))/12)+(('📋 Inputs'!$D$6/('📋 Inputs'!$D$6+'📋 Inputs'!$D$7))*'🐱 Cat Curve Intake'!G$10))</f>
        <v>2115</v>
      </c>
      <c r="H44" s="57">
        <f>$O$44*((('📋 Inputs'!$D$7/('📋 Inputs'!$D$6+'📋 Inputs'!$D$7))/12)+(('📋 Inputs'!$D$6/('📋 Inputs'!$D$6+'📋 Inputs'!$D$7))*'🐱 Cat Curve Intake'!H$10))</f>
        <v>2115</v>
      </c>
      <c r="I44" s="57">
        <f>$O$44*((('📋 Inputs'!$D$7/('📋 Inputs'!$D$6+'📋 Inputs'!$D$7))/12)+(('📋 Inputs'!$D$6/('📋 Inputs'!$D$6+'📋 Inputs'!$D$7))*'🐱 Cat Curve Intake'!I$10))</f>
        <v>2054.9999999999995</v>
      </c>
      <c r="J44" s="57">
        <f>$O$44*((('📋 Inputs'!$D$7/('📋 Inputs'!$D$6+'📋 Inputs'!$D$7))/12)+(('📋 Inputs'!$D$6/('📋 Inputs'!$D$6+'📋 Inputs'!$D$7))*'🐱 Cat Curve Intake'!J$10))</f>
        <v>2009.9999999999998</v>
      </c>
      <c r="K44" s="57">
        <f>$O$44*((('📋 Inputs'!$D$7/('📋 Inputs'!$D$6+'📋 Inputs'!$D$7))/12)+(('📋 Inputs'!$D$6/('📋 Inputs'!$D$6+'📋 Inputs'!$D$7))*'🐱 Cat Curve Intake'!K$10))</f>
        <v>1995</v>
      </c>
      <c r="L44" s="57">
        <f>$O$44*((('📋 Inputs'!$D$7/('📋 Inputs'!$D$6+'📋 Inputs'!$D$7))/12)+(('📋 Inputs'!$D$6/('📋 Inputs'!$D$6+'📋 Inputs'!$D$7))*'🐱 Cat Curve Intake'!L$10))</f>
        <v>1995</v>
      </c>
      <c r="M44" s="57">
        <f>$O$44*((('📋 Inputs'!$D$7/('📋 Inputs'!$D$6+'📋 Inputs'!$D$7))/12)+(('📋 Inputs'!$D$6/('📋 Inputs'!$D$6+'📋 Inputs'!$D$7))*'🐱 Cat Curve Intake'!M$10))</f>
        <v>1755</v>
      </c>
      <c r="N44" s="57">
        <f>$O$44*((('📋 Inputs'!$D$7/('📋 Inputs'!$D$6+'📋 Inputs'!$D$7))/12)+(('📋 Inputs'!$D$6/('📋 Inputs'!$D$6+'📋 Inputs'!$D$7))*'🐱 Cat Curve Intake'!N$10))</f>
        <v>1665</v>
      </c>
      <c r="O44" s="58">
        <f>'📊 Budget Summary'!F70</f>
        <v>22500</v>
      </c>
    </row>
    <row r="45" spans="2:15" ht="18" customHeight="1" x14ac:dyDescent="0.2">
      <c r="B45" s="8" t="s">
        <v>194</v>
      </c>
      <c r="C45" s="57">
        <f>$O$45*((('📋 Inputs'!$D$7/('📋 Inputs'!$D$6+'📋 Inputs'!$D$7))/12)+(('📋 Inputs'!$D$6/('📋 Inputs'!$D$6+'📋 Inputs'!$D$7))*'🐱 Cat Curve Intake'!C$10))</f>
        <v>8099.9999999999991</v>
      </c>
      <c r="D45" s="57">
        <f>$O$45*((('📋 Inputs'!$D$7/('📋 Inputs'!$D$6+'📋 Inputs'!$D$7))/12)+(('📋 Inputs'!$D$6/('📋 Inputs'!$D$6+'📋 Inputs'!$D$7))*'🐱 Cat Curve Intake'!D$10))</f>
        <v>7949.9999999999991</v>
      </c>
      <c r="E45" s="57">
        <f>$O$45*((('📋 Inputs'!$D$7/('📋 Inputs'!$D$6+'📋 Inputs'!$D$7))/12)+(('📋 Inputs'!$D$6/('📋 Inputs'!$D$6+'📋 Inputs'!$D$7))*'🐱 Cat Curve Intake'!E$10))</f>
        <v>8475</v>
      </c>
      <c r="F45" s="57">
        <f>$O$45*((('📋 Inputs'!$D$7/('📋 Inputs'!$D$6+'📋 Inputs'!$D$7))/12)+(('📋 Inputs'!$D$6/('📋 Inputs'!$D$6+'📋 Inputs'!$D$7))*'🐱 Cat Curve Intake'!F$10))</f>
        <v>9449.9999999999982</v>
      </c>
      <c r="G45" s="57">
        <f>$O$45*((('📋 Inputs'!$D$7/('📋 Inputs'!$D$6+'📋 Inputs'!$D$7))/12)+(('📋 Inputs'!$D$6/('📋 Inputs'!$D$6+'📋 Inputs'!$D$7))*'🐱 Cat Curve Intake'!G$10))</f>
        <v>10575</v>
      </c>
      <c r="H45" s="57">
        <f>$O$45*((('📋 Inputs'!$D$7/('📋 Inputs'!$D$6+'📋 Inputs'!$D$7))/12)+(('📋 Inputs'!$D$6/('📋 Inputs'!$D$6+'📋 Inputs'!$D$7))*'🐱 Cat Curve Intake'!H$10))</f>
        <v>10575</v>
      </c>
      <c r="I45" s="57">
        <f>$O$45*((('📋 Inputs'!$D$7/('📋 Inputs'!$D$6+'📋 Inputs'!$D$7))/12)+(('📋 Inputs'!$D$6/('📋 Inputs'!$D$6+'📋 Inputs'!$D$7))*'🐱 Cat Curve Intake'!I$10))</f>
        <v>10274.999999999998</v>
      </c>
      <c r="J45" s="57">
        <f>$O$45*((('📋 Inputs'!$D$7/('📋 Inputs'!$D$6+'📋 Inputs'!$D$7))/12)+(('📋 Inputs'!$D$6/('📋 Inputs'!$D$6+'📋 Inputs'!$D$7))*'🐱 Cat Curve Intake'!J$10))</f>
        <v>10049.999999999998</v>
      </c>
      <c r="K45" s="57">
        <f>$O$45*((('📋 Inputs'!$D$7/('📋 Inputs'!$D$6+'📋 Inputs'!$D$7))/12)+(('📋 Inputs'!$D$6/('📋 Inputs'!$D$6+'📋 Inputs'!$D$7))*'🐱 Cat Curve Intake'!K$10))</f>
        <v>9975</v>
      </c>
      <c r="L45" s="57">
        <f>$O$45*((('📋 Inputs'!$D$7/('📋 Inputs'!$D$6+'📋 Inputs'!$D$7))/12)+(('📋 Inputs'!$D$6/('📋 Inputs'!$D$6+'📋 Inputs'!$D$7))*'🐱 Cat Curve Intake'!L$10))</f>
        <v>9975</v>
      </c>
      <c r="M45" s="57">
        <f>$O$45*((('📋 Inputs'!$D$7/('📋 Inputs'!$D$6+'📋 Inputs'!$D$7))/12)+(('📋 Inputs'!$D$6/('📋 Inputs'!$D$6+'📋 Inputs'!$D$7))*'🐱 Cat Curve Intake'!M$10))</f>
        <v>8775</v>
      </c>
      <c r="N45" s="57">
        <f>$O$45*((('📋 Inputs'!$D$7/('📋 Inputs'!$D$6+'📋 Inputs'!$D$7))/12)+(('📋 Inputs'!$D$6/('📋 Inputs'!$D$6+'📋 Inputs'!$D$7))*'🐱 Cat Curve Intake'!N$10))</f>
        <v>8325</v>
      </c>
      <c r="O45" s="58">
        <f>'📊 Budget Summary'!F71</f>
        <v>112500</v>
      </c>
    </row>
    <row r="46" spans="2:15" ht="16.5" customHeight="1" x14ac:dyDescent="0.2">
      <c r="B46" s="55" t="s">
        <v>288</v>
      </c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6">
        <f>SUM(O47:O51)</f>
        <v>12405</v>
      </c>
    </row>
    <row r="47" spans="2:15" ht="18" customHeight="1" x14ac:dyDescent="0.2">
      <c r="B47" s="8" t="s">
        <v>207</v>
      </c>
      <c r="C47" s="57">
        <f>$O$47*((('📋 Inputs'!$D$7/('📋 Inputs'!$D$6+'📋 Inputs'!$D$7))/12)+(('📋 Inputs'!$D$6/('📋 Inputs'!$D$6+'📋 Inputs'!$D$7))*'🐱 Cat Curve Intake'!C$10))</f>
        <v>458.99999999999994</v>
      </c>
      <c r="D47" s="57">
        <f>$O$47*((('📋 Inputs'!$D$7/('📋 Inputs'!$D$6+'📋 Inputs'!$D$7))/12)+(('📋 Inputs'!$D$6/('📋 Inputs'!$D$6+'📋 Inputs'!$D$7))*'🐱 Cat Curve Intake'!D$10))</f>
        <v>450.49999999999994</v>
      </c>
      <c r="E47" s="57">
        <f>$O$47*((('📋 Inputs'!$D$7/('📋 Inputs'!$D$6+'📋 Inputs'!$D$7))/12)+(('📋 Inputs'!$D$6/('📋 Inputs'!$D$6+'📋 Inputs'!$D$7))*'🐱 Cat Curve Intake'!E$10))</f>
        <v>480.25</v>
      </c>
      <c r="F47" s="57">
        <f>$O$47*((('📋 Inputs'!$D$7/('📋 Inputs'!$D$6+'📋 Inputs'!$D$7))/12)+(('📋 Inputs'!$D$6/('📋 Inputs'!$D$6+'📋 Inputs'!$D$7))*'🐱 Cat Curve Intake'!F$10))</f>
        <v>535.5</v>
      </c>
      <c r="G47" s="57">
        <f>$O$47*((('📋 Inputs'!$D$7/('📋 Inputs'!$D$6+'📋 Inputs'!$D$7))/12)+(('📋 Inputs'!$D$6/('📋 Inputs'!$D$6+'📋 Inputs'!$D$7))*'🐱 Cat Curve Intake'!G$10))</f>
        <v>599.25</v>
      </c>
      <c r="H47" s="57">
        <f>$O$47*((('📋 Inputs'!$D$7/('📋 Inputs'!$D$6+'📋 Inputs'!$D$7))/12)+(('📋 Inputs'!$D$6/('📋 Inputs'!$D$6+'📋 Inputs'!$D$7))*'🐱 Cat Curve Intake'!H$10))</f>
        <v>599.25</v>
      </c>
      <c r="I47" s="57">
        <f>$O$47*((('📋 Inputs'!$D$7/('📋 Inputs'!$D$6+'📋 Inputs'!$D$7))/12)+(('📋 Inputs'!$D$6/('📋 Inputs'!$D$6+'📋 Inputs'!$D$7))*'🐱 Cat Curve Intake'!I$10))</f>
        <v>582.24999999999989</v>
      </c>
      <c r="J47" s="57">
        <f>$O$47*((('📋 Inputs'!$D$7/('📋 Inputs'!$D$6+'📋 Inputs'!$D$7))/12)+(('📋 Inputs'!$D$6/('📋 Inputs'!$D$6+'📋 Inputs'!$D$7))*'🐱 Cat Curve Intake'!J$10))</f>
        <v>569.49999999999989</v>
      </c>
      <c r="K47" s="57">
        <f>$O$47*((('📋 Inputs'!$D$7/('📋 Inputs'!$D$6+'📋 Inputs'!$D$7))/12)+(('📋 Inputs'!$D$6/('📋 Inputs'!$D$6+'📋 Inputs'!$D$7))*'🐱 Cat Curve Intake'!K$10))</f>
        <v>565.25</v>
      </c>
      <c r="L47" s="57">
        <f>$O$47*((('📋 Inputs'!$D$7/('📋 Inputs'!$D$6+'📋 Inputs'!$D$7))/12)+(('📋 Inputs'!$D$6/('📋 Inputs'!$D$6+'📋 Inputs'!$D$7))*'🐱 Cat Curve Intake'!L$10))</f>
        <v>565.25</v>
      </c>
      <c r="M47" s="57">
        <f>$O$47*((('📋 Inputs'!$D$7/('📋 Inputs'!$D$6+'📋 Inputs'!$D$7))/12)+(('📋 Inputs'!$D$6/('📋 Inputs'!$D$6+'📋 Inputs'!$D$7))*'🐱 Cat Curve Intake'!M$10))</f>
        <v>497.25</v>
      </c>
      <c r="N47" s="57">
        <f>$O$47*((('📋 Inputs'!$D$7/('📋 Inputs'!$D$6+'📋 Inputs'!$D$7))/12)+(('📋 Inputs'!$D$6/('📋 Inputs'!$D$6+'📋 Inputs'!$D$7))*'🐱 Cat Curve Intake'!N$10))</f>
        <v>471.75</v>
      </c>
      <c r="O47" s="58">
        <f>'📊 Budget Summary'!F88</f>
        <v>6375</v>
      </c>
    </row>
    <row r="48" spans="2:15" ht="18" customHeight="1" x14ac:dyDescent="0.2">
      <c r="B48" s="8" t="s">
        <v>209</v>
      </c>
      <c r="C48" s="57">
        <f>$O$48*((('📋 Inputs'!$D$7/('📋 Inputs'!$D$6+'📋 Inputs'!$D$7))/12)+(('📋 Inputs'!$D$6/('📋 Inputs'!$D$6+'📋 Inputs'!$D$7))*'🐱 Cat Curve Intake'!C$10))</f>
        <v>242.99999999999997</v>
      </c>
      <c r="D48" s="57">
        <f>$O$48*((('📋 Inputs'!$D$7/('📋 Inputs'!$D$6+'📋 Inputs'!$D$7))/12)+(('📋 Inputs'!$D$6/('📋 Inputs'!$D$6+'📋 Inputs'!$D$7))*'🐱 Cat Curve Intake'!D$10))</f>
        <v>238.49999999999997</v>
      </c>
      <c r="E48" s="57">
        <f>$O$48*((('📋 Inputs'!$D$7/('📋 Inputs'!$D$6+'📋 Inputs'!$D$7))/12)+(('📋 Inputs'!$D$6/('📋 Inputs'!$D$6+'📋 Inputs'!$D$7))*'🐱 Cat Curve Intake'!E$10))</f>
        <v>254.25</v>
      </c>
      <c r="F48" s="57">
        <f>$O$48*((('📋 Inputs'!$D$7/('📋 Inputs'!$D$6+'📋 Inputs'!$D$7))/12)+(('📋 Inputs'!$D$6/('📋 Inputs'!$D$6+'📋 Inputs'!$D$7))*'🐱 Cat Curve Intake'!F$10))</f>
        <v>283.49999999999994</v>
      </c>
      <c r="G48" s="57">
        <f>$O$48*((('📋 Inputs'!$D$7/('📋 Inputs'!$D$6+'📋 Inputs'!$D$7))/12)+(('📋 Inputs'!$D$6/('📋 Inputs'!$D$6+'📋 Inputs'!$D$7))*'🐱 Cat Curve Intake'!G$10))</f>
        <v>317.25</v>
      </c>
      <c r="H48" s="57">
        <f>$O$48*((('📋 Inputs'!$D$7/('📋 Inputs'!$D$6+'📋 Inputs'!$D$7))/12)+(('📋 Inputs'!$D$6/('📋 Inputs'!$D$6+'📋 Inputs'!$D$7))*'🐱 Cat Curve Intake'!H$10))</f>
        <v>317.25</v>
      </c>
      <c r="I48" s="57">
        <f>$O$48*((('📋 Inputs'!$D$7/('📋 Inputs'!$D$6+'📋 Inputs'!$D$7))/12)+(('📋 Inputs'!$D$6/('📋 Inputs'!$D$6+'📋 Inputs'!$D$7))*'🐱 Cat Curve Intake'!I$10))</f>
        <v>308.24999999999994</v>
      </c>
      <c r="J48" s="57">
        <f>$O$48*((('📋 Inputs'!$D$7/('📋 Inputs'!$D$6+'📋 Inputs'!$D$7))/12)+(('📋 Inputs'!$D$6/('📋 Inputs'!$D$6+'📋 Inputs'!$D$7))*'🐱 Cat Curve Intake'!J$10))</f>
        <v>301.49999999999994</v>
      </c>
      <c r="K48" s="57">
        <f>$O$48*((('📋 Inputs'!$D$7/('📋 Inputs'!$D$6+'📋 Inputs'!$D$7))/12)+(('📋 Inputs'!$D$6/('📋 Inputs'!$D$6+'📋 Inputs'!$D$7))*'🐱 Cat Curve Intake'!K$10))</f>
        <v>299.25</v>
      </c>
      <c r="L48" s="57">
        <f>$O$48*((('📋 Inputs'!$D$7/('📋 Inputs'!$D$6+'📋 Inputs'!$D$7))/12)+(('📋 Inputs'!$D$6/('📋 Inputs'!$D$6+'📋 Inputs'!$D$7))*'🐱 Cat Curve Intake'!L$10))</f>
        <v>299.25</v>
      </c>
      <c r="M48" s="57">
        <f>$O$48*((('📋 Inputs'!$D$7/('📋 Inputs'!$D$6+'📋 Inputs'!$D$7))/12)+(('📋 Inputs'!$D$6/('📋 Inputs'!$D$6+'📋 Inputs'!$D$7))*'🐱 Cat Curve Intake'!M$10))</f>
        <v>263.25</v>
      </c>
      <c r="N48" s="57">
        <f>$O$48*((('📋 Inputs'!$D$7/('📋 Inputs'!$D$6+'📋 Inputs'!$D$7))/12)+(('📋 Inputs'!$D$6/('📋 Inputs'!$D$6+'📋 Inputs'!$D$7))*'🐱 Cat Curve Intake'!N$10))</f>
        <v>249.75</v>
      </c>
      <c r="O48" s="58">
        <f>'📊 Budget Summary'!F89</f>
        <v>3375</v>
      </c>
    </row>
    <row r="49" spans="2:15" ht="18" customHeight="1" x14ac:dyDescent="0.2">
      <c r="B49" s="8" t="s">
        <v>214</v>
      </c>
      <c r="C49" s="57">
        <f>$O$49*((('📋 Inputs'!$D$7/('📋 Inputs'!$D$6+'📋 Inputs'!$D$7))/12)+(('📋 Inputs'!$D$6/('📋 Inputs'!$D$6+'📋 Inputs'!$D$7))*'🐱 Cat Curve Intake'!C$10))</f>
        <v>22.68</v>
      </c>
      <c r="D49" s="57">
        <f>$O$49*((('📋 Inputs'!$D$7/('📋 Inputs'!$D$6+'📋 Inputs'!$D$7))/12)+(('📋 Inputs'!$D$6/('📋 Inputs'!$D$6+'📋 Inputs'!$D$7))*'🐱 Cat Curve Intake'!D$10))</f>
        <v>22.259999999999998</v>
      </c>
      <c r="E49" s="57">
        <f>$O$49*((('📋 Inputs'!$D$7/('📋 Inputs'!$D$6+'📋 Inputs'!$D$7))/12)+(('📋 Inputs'!$D$6/('📋 Inputs'!$D$6+'📋 Inputs'!$D$7))*'🐱 Cat Curve Intake'!E$10))</f>
        <v>23.73</v>
      </c>
      <c r="F49" s="57">
        <f>$O$49*((('📋 Inputs'!$D$7/('📋 Inputs'!$D$6+'📋 Inputs'!$D$7))/12)+(('📋 Inputs'!$D$6/('📋 Inputs'!$D$6+'📋 Inputs'!$D$7))*'🐱 Cat Curve Intake'!F$10))</f>
        <v>26.459999999999997</v>
      </c>
      <c r="G49" s="57">
        <f>$O$49*((('📋 Inputs'!$D$7/('📋 Inputs'!$D$6+'📋 Inputs'!$D$7))/12)+(('📋 Inputs'!$D$6/('📋 Inputs'!$D$6+'📋 Inputs'!$D$7))*'🐱 Cat Curve Intake'!G$10))</f>
        <v>29.61</v>
      </c>
      <c r="H49" s="57">
        <f>$O$49*((('📋 Inputs'!$D$7/('📋 Inputs'!$D$6+'📋 Inputs'!$D$7))/12)+(('📋 Inputs'!$D$6/('📋 Inputs'!$D$6+'📋 Inputs'!$D$7))*'🐱 Cat Curve Intake'!H$10))</f>
        <v>29.61</v>
      </c>
      <c r="I49" s="57">
        <f>$O$49*((('📋 Inputs'!$D$7/('📋 Inputs'!$D$6+'📋 Inputs'!$D$7))/12)+(('📋 Inputs'!$D$6/('📋 Inputs'!$D$6+'📋 Inputs'!$D$7))*'🐱 Cat Curve Intake'!I$10))</f>
        <v>28.769999999999996</v>
      </c>
      <c r="J49" s="57">
        <f>$O$49*((('📋 Inputs'!$D$7/('📋 Inputs'!$D$6+'📋 Inputs'!$D$7))/12)+(('📋 Inputs'!$D$6/('📋 Inputs'!$D$6+'📋 Inputs'!$D$7))*'🐱 Cat Curve Intake'!J$10))</f>
        <v>28.139999999999997</v>
      </c>
      <c r="K49" s="57">
        <f>$O$49*((('📋 Inputs'!$D$7/('📋 Inputs'!$D$6+'📋 Inputs'!$D$7))/12)+(('📋 Inputs'!$D$6/('📋 Inputs'!$D$6+'📋 Inputs'!$D$7))*'🐱 Cat Curve Intake'!K$10))</f>
        <v>27.93</v>
      </c>
      <c r="L49" s="57">
        <f>$O$49*((('📋 Inputs'!$D$7/('📋 Inputs'!$D$6+'📋 Inputs'!$D$7))/12)+(('📋 Inputs'!$D$6/('📋 Inputs'!$D$6+'📋 Inputs'!$D$7))*'🐱 Cat Curve Intake'!L$10))</f>
        <v>27.93</v>
      </c>
      <c r="M49" s="57">
        <f>$O$49*((('📋 Inputs'!$D$7/('📋 Inputs'!$D$6+'📋 Inputs'!$D$7))/12)+(('📋 Inputs'!$D$6/('📋 Inputs'!$D$6+'📋 Inputs'!$D$7))*'🐱 Cat Curve Intake'!M$10))</f>
        <v>24.57</v>
      </c>
      <c r="N49" s="57">
        <f>$O$49*((('📋 Inputs'!$D$7/('📋 Inputs'!$D$6+'📋 Inputs'!$D$7))/12)+(('📋 Inputs'!$D$6/('📋 Inputs'!$D$6+'📋 Inputs'!$D$7))*'🐱 Cat Curve Intake'!N$10))</f>
        <v>23.31</v>
      </c>
      <c r="O49" s="58">
        <f>'📊 Budget Summary'!F94</f>
        <v>315</v>
      </c>
    </row>
    <row r="50" spans="2:15" ht="18" customHeight="1" x14ac:dyDescent="0.2">
      <c r="B50" s="8" t="s">
        <v>217</v>
      </c>
      <c r="C50" s="57">
        <f>$O$50*((('📋 Inputs'!$D$7/('📋 Inputs'!$D$6+'📋 Inputs'!$D$7))/12)+(('📋 Inputs'!$D$6/('📋 Inputs'!$D$6+'📋 Inputs'!$D$7))*'🐱 Cat Curve Intake'!C$10))</f>
        <v>56.16</v>
      </c>
      <c r="D50" s="57">
        <f>$O$50*((('📋 Inputs'!$D$7/('📋 Inputs'!$D$6+'📋 Inputs'!$D$7))/12)+(('📋 Inputs'!$D$6/('📋 Inputs'!$D$6+'📋 Inputs'!$D$7))*'🐱 Cat Curve Intake'!D$10))</f>
        <v>55.11999999999999</v>
      </c>
      <c r="E50" s="57">
        <f>$O$50*((('📋 Inputs'!$D$7/('📋 Inputs'!$D$6+'📋 Inputs'!$D$7))/12)+(('📋 Inputs'!$D$6/('📋 Inputs'!$D$6+'📋 Inputs'!$D$7))*'🐱 Cat Curve Intake'!E$10))</f>
        <v>58.760000000000005</v>
      </c>
      <c r="F50" s="57">
        <f>$O$50*((('📋 Inputs'!$D$7/('📋 Inputs'!$D$6+'📋 Inputs'!$D$7))/12)+(('📋 Inputs'!$D$6/('📋 Inputs'!$D$6+'📋 Inputs'!$D$7))*'🐱 Cat Curve Intake'!F$10))</f>
        <v>65.52</v>
      </c>
      <c r="G50" s="57">
        <f>$O$50*((('📋 Inputs'!$D$7/('📋 Inputs'!$D$6+'📋 Inputs'!$D$7))/12)+(('📋 Inputs'!$D$6/('📋 Inputs'!$D$6+'📋 Inputs'!$D$7))*'🐱 Cat Curve Intake'!G$10))</f>
        <v>73.319999999999993</v>
      </c>
      <c r="H50" s="57">
        <f>$O$50*((('📋 Inputs'!$D$7/('📋 Inputs'!$D$6+'📋 Inputs'!$D$7))/12)+(('📋 Inputs'!$D$6/('📋 Inputs'!$D$6+'📋 Inputs'!$D$7))*'🐱 Cat Curve Intake'!H$10))</f>
        <v>73.319999999999993</v>
      </c>
      <c r="I50" s="57">
        <f>$O$50*((('📋 Inputs'!$D$7/('📋 Inputs'!$D$6+'📋 Inputs'!$D$7))/12)+(('📋 Inputs'!$D$6/('📋 Inputs'!$D$6+'📋 Inputs'!$D$7))*'🐱 Cat Curve Intake'!I$10))</f>
        <v>71.239999999999995</v>
      </c>
      <c r="J50" s="57">
        <f>$O$50*((('📋 Inputs'!$D$7/('📋 Inputs'!$D$6+'📋 Inputs'!$D$7))/12)+(('📋 Inputs'!$D$6/('📋 Inputs'!$D$6+'📋 Inputs'!$D$7))*'🐱 Cat Curve Intake'!J$10))</f>
        <v>69.679999999999993</v>
      </c>
      <c r="K50" s="57">
        <f>$O$50*((('📋 Inputs'!$D$7/('📋 Inputs'!$D$6+'📋 Inputs'!$D$7))/12)+(('📋 Inputs'!$D$6/('📋 Inputs'!$D$6+'📋 Inputs'!$D$7))*'🐱 Cat Curve Intake'!K$10))</f>
        <v>69.16</v>
      </c>
      <c r="L50" s="57">
        <f>$O$50*((('📋 Inputs'!$D$7/('📋 Inputs'!$D$6+'📋 Inputs'!$D$7))/12)+(('📋 Inputs'!$D$6/('📋 Inputs'!$D$6+'📋 Inputs'!$D$7))*'🐱 Cat Curve Intake'!L$10))</f>
        <v>69.16</v>
      </c>
      <c r="M50" s="57">
        <f>$O$50*((('📋 Inputs'!$D$7/('📋 Inputs'!$D$6+'📋 Inputs'!$D$7))/12)+(('📋 Inputs'!$D$6/('📋 Inputs'!$D$6+'📋 Inputs'!$D$7))*'🐱 Cat Curve Intake'!M$10))</f>
        <v>60.84</v>
      </c>
      <c r="N50" s="57">
        <f>$O$50*((('📋 Inputs'!$D$7/('📋 Inputs'!$D$6+'📋 Inputs'!$D$7))/12)+(('📋 Inputs'!$D$6/('📋 Inputs'!$D$6+'📋 Inputs'!$D$7))*'🐱 Cat Curve Intake'!N$10))</f>
        <v>57.72</v>
      </c>
      <c r="O50" s="58">
        <f>'📊 Budget Summary'!F97</f>
        <v>780</v>
      </c>
    </row>
    <row r="51" spans="2:15" ht="18" customHeight="1" x14ac:dyDescent="0.2">
      <c r="B51" s="8" t="s">
        <v>218</v>
      </c>
      <c r="C51" s="57">
        <f>$O$51*((('📋 Inputs'!$D$7/('📋 Inputs'!$D$6+'📋 Inputs'!$D$7))/12)+(('📋 Inputs'!$D$6/('📋 Inputs'!$D$6+'📋 Inputs'!$D$7))*'🐱 Cat Curve Intake'!C$10))</f>
        <v>112.32</v>
      </c>
      <c r="D51" s="57">
        <f>$O$51*((('📋 Inputs'!$D$7/('📋 Inputs'!$D$6+'📋 Inputs'!$D$7))/12)+(('📋 Inputs'!$D$6/('📋 Inputs'!$D$6+'📋 Inputs'!$D$7))*'🐱 Cat Curve Intake'!D$10))</f>
        <v>110.23999999999998</v>
      </c>
      <c r="E51" s="57">
        <f>$O$51*((('📋 Inputs'!$D$7/('📋 Inputs'!$D$6+'📋 Inputs'!$D$7))/12)+(('📋 Inputs'!$D$6/('📋 Inputs'!$D$6+'📋 Inputs'!$D$7))*'🐱 Cat Curve Intake'!E$10))</f>
        <v>117.52000000000001</v>
      </c>
      <c r="F51" s="57">
        <f>$O$51*((('📋 Inputs'!$D$7/('📋 Inputs'!$D$6+'📋 Inputs'!$D$7))/12)+(('📋 Inputs'!$D$6/('📋 Inputs'!$D$6+'📋 Inputs'!$D$7))*'🐱 Cat Curve Intake'!F$10))</f>
        <v>131.04</v>
      </c>
      <c r="G51" s="57">
        <f>$O$51*((('📋 Inputs'!$D$7/('📋 Inputs'!$D$6+'📋 Inputs'!$D$7))/12)+(('📋 Inputs'!$D$6/('📋 Inputs'!$D$6+'📋 Inputs'!$D$7))*'🐱 Cat Curve Intake'!G$10))</f>
        <v>146.63999999999999</v>
      </c>
      <c r="H51" s="57">
        <f>$O$51*((('📋 Inputs'!$D$7/('📋 Inputs'!$D$6+'📋 Inputs'!$D$7))/12)+(('📋 Inputs'!$D$6/('📋 Inputs'!$D$6+'📋 Inputs'!$D$7))*'🐱 Cat Curve Intake'!H$10))</f>
        <v>146.63999999999999</v>
      </c>
      <c r="I51" s="57">
        <f>$O$51*((('📋 Inputs'!$D$7/('📋 Inputs'!$D$6+'📋 Inputs'!$D$7))/12)+(('📋 Inputs'!$D$6/('📋 Inputs'!$D$6+'📋 Inputs'!$D$7))*'🐱 Cat Curve Intake'!I$10))</f>
        <v>142.47999999999999</v>
      </c>
      <c r="J51" s="57">
        <f>$O$51*((('📋 Inputs'!$D$7/('📋 Inputs'!$D$6+'📋 Inputs'!$D$7))/12)+(('📋 Inputs'!$D$6/('📋 Inputs'!$D$6+'📋 Inputs'!$D$7))*'🐱 Cat Curve Intake'!J$10))</f>
        <v>139.35999999999999</v>
      </c>
      <c r="K51" s="57">
        <f>$O$51*((('📋 Inputs'!$D$7/('📋 Inputs'!$D$6+'📋 Inputs'!$D$7))/12)+(('📋 Inputs'!$D$6/('📋 Inputs'!$D$6+'📋 Inputs'!$D$7))*'🐱 Cat Curve Intake'!K$10))</f>
        <v>138.32</v>
      </c>
      <c r="L51" s="57">
        <f>$O$51*((('📋 Inputs'!$D$7/('📋 Inputs'!$D$6+'📋 Inputs'!$D$7))/12)+(('📋 Inputs'!$D$6/('📋 Inputs'!$D$6+'📋 Inputs'!$D$7))*'🐱 Cat Curve Intake'!L$10))</f>
        <v>138.32</v>
      </c>
      <c r="M51" s="57">
        <f>$O$51*((('📋 Inputs'!$D$7/('📋 Inputs'!$D$6+'📋 Inputs'!$D$7))/12)+(('📋 Inputs'!$D$6/('📋 Inputs'!$D$6+'📋 Inputs'!$D$7))*'🐱 Cat Curve Intake'!M$10))</f>
        <v>121.68</v>
      </c>
      <c r="N51" s="57">
        <f>$O$51*((('📋 Inputs'!$D$7/('📋 Inputs'!$D$6+'📋 Inputs'!$D$7))/12)+(('📋 Inputs'!$D$6/('📋 Inputs'!$D$6+'📋 Inputs'!$D$7))*'🐱 Cat Curve Intake'!N$10))</f>
        <v>115.44</v>
      </c>
      <c r="O51" s="58">
        <f>'📊 Budget Summary'!F98</f>
        <v>1560</v>
      </c>
    </row>
    <row r="52" spans="2:15" ht="16.5" customHeight="1" x14ac:dyDescent="0.2">
      <c r="B52" s="55" t="s">
        <v>114</v>
      </c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6">
        <f>SUM(O53:O55)</f>
        <v>2820</v>
      </c>
    </row>
    <row r="53" spans="2:15" ht="18" customHeight="1" x14ac:dyDescent="0.2">
      <c r="B53" s="8" t="s">
        <v>234</v>
      </c>
      <c r="C53" s="57">
        <f>IFERROR('📊 Budget Summary'!F120/12,0)</f>
        <v>150</v>
      </c>
      <c r="D53" s="57">
        <f>IFERROR('📊 Budget Summary'!F120/12,0)</f>
        <v>150</v>
      </c>
      <c r="E53" s="57">
        <f>IFERROR('📊 Budget Summary'!F120/12,0)</f>
        <v>150</v>
      </c>
      <c r="F53" s="57">
        <f>IFERROR('📊 Budget Summary'!F120/12,0)</f>
        <v>150</v>
      </c>
      <c r="G53" s="57">
        <f>IFERROR('📊 Budget Summary'!F120/12,0)</f>
        <v>150</v>
      </c>
      <c r="H53" s="57">
        <f>IFERROR('📊 Budget Summary'!F120/12,0)</f>
        <v>150</v>
      </c>
      <c r="I53" s="57">
        <f>IFERROR('📊 Budget Summary'!F120/12,0)</f>
        <v>150</v>
      </c>
      <c r="J53" s="57">
        <f>IFERROR('📊 Budget Summary'!F120/12,0)</f>
        <v>150</v>
      </c>
      <c r="K53" s="57">
        <f>IFERROR('📊 Budget Summary'!F120/12,0)</f>
        <v>150</v>
      </c>
      <c r="L53" s="57">
        <f>IFERROR('📊 Budget Summary'!F120/12,0)</f>
        <v>150</v>
      </c>
      <c r="M53" s="57">
        <f>IFERROR('📊 Budget Summary'!F120/12,0)</f>
        <v>150</v>
      </c>
      <c r="N53" s="57">
        <f>IFERROR('📊 Budget Summary'!F120/12,0)</f>
        <v>150</v>
      </c>
      <c r="O53" s="58">
        <f>'📊 Budget Summary'!F120</f>
        <v>1800</v>
      </c>
    </row>
    <row r="54" spans="2:15" ht="18" customHeight="1" x14ac:dyDescent="0.2">
      <c r="B54" s="8" t="s">
        <v>235</v>
      </c>
      <c r="C54" s="57">
        <f>IFERROR('📊 Budget Summary'!F121/12,0)</f>
        <v>35</v>
      </c>
      <c r="D54" s="57">
        <f>IFERROR('📊 Budget Summary'!F121/12,0)</f>
        <v>35</v>
      </c>
      <c r="E54" s="57">
        <f>IFERROR('📊 Budget Summary'!F121/12,0)</f>
        <v>35</v>
      </c>
      <c r="F54" s="57">
        <f>IFERROR('📊 Budget Summary'!F121/12,0)</f>
        <v>35</v>
      </c>
      <c r="G54" s="57">
        <f>IFERROR('📊 Budget Summary'!F121/12,0)</f>
        <v>35</v>
      </c>
      <c r="H54" s="57">
        <f>IFERROR('📊 Budget Summary'!F121/12,0)</f>
        <v>35</v>
      </c>
      <c r="I54" s="57">
        <f>IFERROR('📊 Budget Summary'!F121/12,0)</f>
        <v>35</v>
      </c>
      <c r="J54" s="57">
        <f>IFERROR('📊 Budget Summary'!F121/12,0)</f>
        <v>35</v>
      </c>
      <c r="K54" s="57">
        <f>IFERROR('📊 Budget Summary'!F121/12,0)</f>
        <v>35</v>
      </c>
      <c r="L54" s="57">
        <f>IFERROR('📊 Budget Summary'!F121/12,0)</f>
        <v>35</v>
      </c>
      <c r="M54" s="57">
        <f>IFERROR('📊 Budget Summary'!F121/12,0)</f>
        <v>35</v>
      </c>
      <c r="N54" s="57">
        <f>IFERROR('📊 Budget Summary'!F121/12,0)</f>
        <v>35</v>
      </c>
      <c r="O54" s="58">
        <f>'📊 Budget Summary'!F121</f>
        <v>420</v>
      </c>
    </row>
    <row r="55" spans="2:15" ht="18" customHeight="1" x14ac:dyDescent="0.2">
      <c r="B55" s="8" t="s">
        <v>236</v>
      </c>
      <c r="C55" s="57">
        <f>IFERROR('📊 Budget Summary'!F122/12,0)</f>
        <v>50</v>
      </c>
      <c r="D55" s="57">
        <f>IFERROR('📊 Budget Summary'!F122/12,0)</f>
        <v>50</v>
      </c>
      <c r="E55" s="57">
        <f>IFERROR('📊 Budget Summary'!F122/12,0)</f>
        <v>50</v>
      </c>
      <c r="F55" s="57">
        <f>IFERROR('📊 Budget Summary'!F122/12,0)</f>
        <v>50</v>
      </c>
      <c r="G55" s="57">
        <f>IFERROR('📊 Budget Summary'!F122/12,0)</f>
        <v>50</v>
      </c>
      <c r="H55" s="57">
        <f>IFERROR('📊 Budget Summary'!F122/12,0)</f>
        <v>50</v>
      </c>
      <c r="I55" s="57">
        <f>IFERROR('📊 Budget Summary'!F122/12,0)</f>
        <v>50</v>
      </c>
      <c r="J55" s="57">
        <f>IFERROR('📊 Budget Summary'!F122/12,0)</f>
        <v>50</v>
      </c>
      <c r="K55" s="57">
        <f>IFERROR('📊 Budget Summary'!F122/12,0)</f>
        <v>50</v>
      </c>
      <c r="L55" s="57">
        <f>IFERROR('📊 Budget Summary'!F122/12,0)</f>
        <v>50</v>
      </c>
      <c r="M55" s="57">
        <f>IFERROR('📊 Budget Summary'!F122/12,0)</f>
        <v>50</v>
      </c>
      <c r="N55" s="57">
        <f>IFERROR('📊 Budget Summary'!F122/12,0)</f>
        <v>50</v>
      </c>
      <c r="O55" s="58">
        <f>'📊 Budget Summary'!F122</f>
        <v>600</v>
      </c>
    </row>
    <row r="56" spans="2:15" ht="16.5" customHeight="1" x14ac:dyDescent="0.2">
      <c r="B56" s="55" t="s">
        <v>118</v>
      </c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6">
        <f>SUM(O57:O59)</f>
        <v>38350</v>
      </c>
    </row>
    <row r="57" spans="2:15" ht="18" customHeight="1" x14ac:dyDescent="0.2">
      <c r="B57" s="8" t="s">
        <v>238</v>
      </c>
      <c r="C57" s="57">
        <f>$O$57*((('📋 Inputs'!$D$7/('📋 Inputs'!$D$6+'📋 Inputs'!$D$7))/12)+(('📋 Inputs'!$D$6/('📋 Inputs'!$D$6+'📋 Inputs'!$D$7))*'🐱 Cat Curve Intake'!C$10))</f>
        <v>2700</v>
      </c>
      <c r="D57" s="57">
        <f>$O$57*((('📋 Inputs'!$D$7/('📋 Inputs'!$D$6+'📋 Inputs'!$D$7))/12)+(('📋 Inputs'!$D$6/('📋 Inputs'!$D$6+'📋 Inputs'!$D$7))*'🐱 Cat Curve Intake'!D$10))</f>
        <v>2649.9999999999995</v>
      </c>
      <c r="E57" s="57">
        <f>$O$57*((('📋 Inputs'!$D$7/('📋 Inputs'!$D$6+'📋 Inputs'!$D$7))/12)+(('📋 Inputs'!$D$6/('📋 Inputs'!$D$6+'📋 Inputs'!$D$7))*'🐱 Cat Curve Intake'!E$10))</f>
        <v>2825</v>
      </c>
      <c r="F57" s="57">
        <f>$O$57*((('📋 Inputs'!$D$7/('📋 Inputs'!$D$6+'📋 Inputs'!$D$7))/12)+(('📋 Inputs'!$D$6/('📋 Inputs'!$D$6+'📋 Inputs'!$D$7))*'🐱 Cat Curve Intake'!F$10))</f>
        <v>3149.9999999999995</v>
      </c>
      <c r="G57" s="57">
        <f>$O$57*((('📋 Inputs'!$D$7/('📋 Inputs'!$D$6+'📋 Inputs'!$D$7))/12)+(('📋 Inputs'!$D$6/('📋 Inputs'!$D$6+'📋 Inputs'!$D$7))*'🐱 Cat Curve Intake'!G$10))</f>
        <v>3525</v>
      </c>
      <c r="H57" s="57">
        <f>$O$57*((('📋 Inputs'!$D$7/('📋 Inputs'!$D$6+'📋 Inputs'!$D$7))/12)+(('📋 Inputs'!$D$6/('📋 Inputs'!$D$6+'📋 Inputs'!$D$7))*'🐱 Cat Curve Intake'!H$10))</f>
        <v>3525</v>
      </c>
      <c r="I57" s="57">
        <f>$O$57*((('📋 Inputs'!$D$7/('📋 Inputs'!$D$6+'📋 Inputs'!$D$7))/12)+(('📋 Inputs'!$D$6/('📋 Inputs'!$D$6+'📋 Inputs'!$D$7))*'🐱 Cat Curve Intake'!I$10))</f>
        <v>3424.9999999999995</v>
      </c>
      <c r="J57" s="57">
        <f>$O$57*((('📋 Inputs'!$D$7/('📋 Inputs'!$D$6+'📋 Inputs'!$D$7))/12)+(('📋 Inputs'!$D$6/('📋 Inputs'!$D$6+'📋 Inputs'!$D$7))*'🐱 Cat Curve Intake'!J$10))</f>
        <v>3349.9999999999995</v>
      </c>
      <c r="K57" s="57">
        <f>$O$57*((('📋 Inputs'!$D$7/('📋 Inputs'!$D$6+'📋 Inputs'!$D$7))/12)+(('📋 Inputs'!$D$6/('📋 Inputs'!$D$6+'📋 Inputs'!$D$7))*'🐱 Cat Curve Intake'!K$10))</f>
        <v>3325</v>
      </c>
      <c r="L57" s="57">
        <f>$O$57*((('📋 Inputs'!$D$7/('📋 Inputs'!$D$6+'📋 Inputs'!$D$7))/12)+(('📋 Inputs'!$D$6/('📋 Inputs'!$D$6+'📋 Inputs'!$D$7))*'🐱 Cat Curve Intake'!L$10))</f>
        <v>3325</v>
      </c>
      <c r="M57" s="57">
        <f>$O$57*((('📋 Inputs'!$D$7/('📋 Inputs'!$D$6+'📋 Inputs'!$D$7))/12)+(('📋 Inputs'!$D$6/('📋 Inputs'!$D$6+'📋 Inputs'!$D$7))*'🐱 Cat Curve Intake'!M$10))</f>
        <v>2925</v>
      </c>
      <c r="N57" s="57">
        <f>$O$57*((('📋 Inputs'!$D$7/('📋 Inputs'!$D$6+'📋 Inputs'!$D$7))/12)+(('📋 Inputs'!$D$6/('📋 Inputs'!$D$6+'📋 Inputs'!$D$7))*'🐱 Cat Curve Intake'!N$10))</f>
        <v>2775</v>
      </c>
      <c r="O57" s="58">
        <f>'📊 Budget Summary'!F126</f>
        <v>37500</v>
      </c>
    </row>
    <row r="58" spans="2:15" ht="18" customHeight="1" x14ac:dyDescent="0.2">
      <c r="B58" s="8" t="s">
        <v>239</v>
      </c>
      <c r="C58" s="57">
        <f>IFERROR('📊 Budget Summary'!F127/12,0)</f>
        <v>50</v>
      </c>
      <c r="D58" s="57">
        <f>IFERROR('📊 Budget Summary'!F127/12,0)</f>
        <v>50</v>
      </c>
      <c r="E58" s="57">
        <f>IFERROR('📊 Budget Summary'!F127/12,0)</f>
        <v>50</v>
      </c>
      <c r="F58" s="57">
        <f>IFERROR('📊 Budget Summary'!F127/12,0)</f>
        <v>50</v>
      </c>
      <c r="G58" s="57">
        <f>IFERROR('📊 Budget Summary'!F127/12,0)</f>
        <v>50</v>
      </c>
      <c r="H58" s="57">
        <f>IFERROR('📊 Budget Summary'!F127/12,0)</f>
        <v>50</v>
      </c>
      <c r="I58" s="57">
        <f>IFERROR('📊 Budget Summary'!F127/12,0)</f>
        <v>50</v>
      </c>
      <c r="J58" s="57">
        <f>IFERROR('📊 Budget Summary'!F127/12,0)</f>
        <v>50</v>
      </c>
      <c r="K58" s="57">
        <f>IFERROR('📊 Budget Summary'!F127/12,0)</f>
        <v>50</v>
      </c>
      <c r="L58" s="57">
        <f>IFERROR('📊 Budget Summary'!F127/12,0)</f>
        <v>50</v>
      </c>
      <c r="M58" s="57">
        <f>IFERROR('📊 Budget Summary'!F127/12,0)</f>
        <v>50</v>
      </c>
      <c r="N58" s="57">
        <f>IFERROR('📊 Budget Summary'!F127/12,0)</f>
        <v>50</v>
      </c>
      <c r="O58" s="58">
        <f>'📊 Budget Summary'!F127</f>
        <v>600</v>
      </c>
    </row>
    <row r="59" spans="2:15" ht="18" customHeight="1" x14ac:dyDescent="0.2">
      <c r="B59" s="8" t="s">
        <v>240</v>
      </c>
      <c r="C59" s="57">
        <f>IFERROR('📊 Budget Summary'!F128/12,0)</f>
        <v>20.833333333333332</v>
      </c>
      <c r="D59" s="57">
        <f>IFERROR('📊 Budget Summary'!F128/12,0)</f>
        <v>20.833333333333332</v>
      </c>
      <c r="E59" s="57">
        <f>IFERROR('📊 Budget Summary'!F128/12,0)</f>
        <v>20.833333333333332</v>
      </c>
      <c r="F59" s="57">
        <f>IFERROR('📊 Budget Summary'!F128/12,0)</f>
        <v>20.833333333333332</v>
      </c>
      <c r="G59" s="57">
        <f>IFERROR('📊 Budget Summary'!F128/12,0)</f>
        <v>20.833333333333332</v>
      </c>
      <c r="H59" s="57">
        <f>IFERROR('📊 Budget Summary'!F128/12,0)</f>
        <v>20.833333333333332</v>
      </c>
      <c r="I59" s="57">
        <f>IFERROR('📊 Budget Summary'!F128/12,0)</f>
        <v>20.833333333333332</v>
      </c>
      <c r="J59" s="57">
        <f>IFERROR('📊 Budget Summary'!F128/12,0)</f>
        <v>20.833333333333332</v>
      </c>
      <c r="K59" s="57">
        <f>IFERROR('📊 Budget Summary'!F128/12,0)</f>
        <v>20.833333333333332</v>
      </c>
      <c r="L59" s="57">
        <f>IFERROR('📊 Budget Summary'!F128/12,0)</f>
        <v>20.833333333333332</v>
      </c>
      <c r="M59" s="57">
        <f>IFERROR('📊 Budget Summary'!F128/12,0)</f>
        <v>20.833333333333332</v>
      </c>
      <c r="N59" s="57">
        <f>IFERROR('📊 Budget Summary'!F128/12,0)</f>
        <v>20.833333333333332</v>
      </c>
      <c r="O59" s="58">
        <f>'📊 Budget Summary'!F128</f>
        <v>250</v>
      </c>
    </row>
    <row r="60" spans="2:15" ht="16.5" customHeight="1" x14ac:dyDescent="0.2">
      <c r="B60" s="55" t="s">
        <v>77</v>
      </c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6">
        <f>SUM(O61:O63)</f>
        <v>466</v>
      </c>
    </row>
    <row r="61" spans="2:15" ht="18" customHeight="1" x14ac:dyDescent="0.2">
      <c r="B61" s="8" t="s">
        <v>196</v>
      </c>
      <c r="C61" s="57">
        <f>$O$61*((('📋 Inputs'!$D$7/('📋 Inputs'!$D$6+'📋 Inputs'!$D$7))/12)+(('📋 Inputs'!$D$6/('📋 Inputs'!$D$6+'📋 Inputs'!$D$7))*'🐱 Cat Curve Intake'!C$10))</f>
        <v>5.1839999999999993</v>
      </c>
      <c r="D61" s="57">
        <f>$O$61*((('📋 Inputs'!$D$7/('📋 Inputs'!$D$6+'📋 Inputs'!$D$7))/12)+(('📋 Inputs'!$D$6/('📋 Inputs'!$D$6+'📋 Inputs'!$D$7))*'🐱 Cat Curve Intake'!D$10))</f>
        <v>5.0879999999999992</v>
      </c>
      <c r="E61" s="57">
        <f>$O$61*((('📋 Inputs'!$D$7/('📋 Inputs'!$D$6+'📋 Inputs'!$D$7))/12)+(('📋 Inputs'!$D$6/('📋 Inputs'!$D$6+'📋 Inputs'!$D$7))*'🐱 Cat Curve Intake'!E$10))</f>
        <v>5.4240000000000004</v>
      </c>
      <c r="F61" s="57">
        <f>$O$61*((('📋 Inputs'!$D$7/('📋 Inputs'!$D$6+'📋 Inputs'!$D$7))/12)+(('📋 Inputs'!$D$6/('📋 Inputs'!$D$6+'📋 Inputs'!$D$7))*'🐱 Cat Curve Intake'!F$10))</f>
        <v>6.0479999999999992</v>
      </c>
      <c r="G61" s="57">
        <f>$O$61*((('📋 Inputs'!$D$7/('📋 Inputs'!$D$6+'📋 Inputs'!$D$7))/12)+(('📋 Inputs'!$D$6/('📋 Inputs'!$D$6+'📋 Inputs'!$D$7))*'🐱 Cat Curve Intake'!G$10))</f>
        <v>6.7679999999999998</v>
      </c>
      <c r="H61" s="57">
        <f>$O$61*((('📋 Inputs'!$D$7/('📋 Inputs'!$D$6+'📋 Inputs'!$D$7))/12)+(('📋 Inputs'!$D$6/('📋 Inputs'!$D$6+'📋 Inputs'!$D$7))*'🐱 Cat Curve Intake'!H$10))</f>
        <v>6.7679999999999998</v>
      </c>
      <c r="I61" s="57">
        <f>$O$61*((('📋 Inputs'!$D$7/('📋 Inputs'!$D$6+'📋 Inputs'!$D$7))/12)+(('📋 Inputs'!$D$6/('📋 Inputs'!$D$6+'📋 Inputs'!$D$7))*'🐱 Cat Curve Intake'!I$10))</f>
        <v>6.5759999999999987</v>
      </c>
      <c r="J61" s="57">
        <f>$O$61*((('📋 Inputs'!$D$7/('📋 Inputs'!$D$6+'📋 Inputs'!$D$7))/12)+(('📋 Inputs'!$D$6/('📋 Inputs'!$D$6+'📋 Inputs'!$D$7))*'🐱 Cat Curve Intake'!J$10))</f>
        <v>6.4319999999999986</v>
      </c>
      <c r="K61" s="57">
        <f>$O$61*((('📋 Inputs'!$D$7/('📋 Inputs'!$D$6+'📋 Inputs'!$D$7))/12)+(('📋 Inputs'!$D$6/('📋 Inputs'!$D$6+'📋 Inputs'!$D$7))*'🐱 Cat Curve Intake'!K$10))</f>
        <v>6.3840000000000003</v>
      </c>
      <c r="L61" s="57">
        <f>$O$61*((('📋 Inputs'!$D$7/('📋 Inputs'!$D$6+'📋 Inputs'!$D$7))/12)+(('📋 Inputs'!$D$6/('📋 Inputs'!$D$6+'📋 Inputs'!$D$7))*'🐱 Cat Curve Intake'!L$10))</f>
        <v>6.3840000000000003</v>
      </c>
      <c r="M61" s="57">
        <f>$O$61*((('📋 Inputs'!$D$7/('📋 Inputs'!$D$6+'📋 Inputs'!$D$7))/12)+(('📋 Inputs'!$D$6/('📋 Inputs'!$D$6+'📋 Inputs'!$D$7))*'🐱 Cat Curve Intake'!M$10))</f>
        <v>5.6159999999999997</v>
      </c>
      <c r="N61" s="57">
        <f>$O$61*((('📋 Inputs'!$D$7/('📋 Inputs'!$D$6+'📋 Inputs'!$D$7))/12)+(('📋 Inputs'!$D$6/('📋 Inputs'!$D$6+'📋 Inputs'!$D$7))*'🐱 Cat Curve Intake'!N$10))</f>
        <v>5.3279999999999994</v>
      </c>
      <c r="O61" s="58">
        <f>'📊 Budget Summary'!F75</f>
        <v>72</v>
      </c>
    </row>
    <row r="62" spans="2:15" ht="18" customHeight="1" x14ac:dyDescent="0.2">
      <c r="B62" s="8" t="s">
        <v>197</v>
      </c>
      <c r="C62" s="57">
        <f>$O$62*((('📋 Inputs'!$D$7/('📋 Inputs'!$D$6+'📋 Inputs'!$D$7))/12)+(('📋 Inputs'!$D$6/('📋 Inputs'!$D$6+'📋 Inputs'!$D$7))*'🐱 Cat Curve Intake'!C$10))</f>
        <v>2.88</v>
      </c>
      <c r="D62" s="57">
        <f>$O$62*((('📋 Inputs'!$D$7/('📋 Inputs'!$D$6+'📋 Inputs'!$D$7))/12)+(('📋 Inputs'!$D$6/('📋 Inputs'!$D$6+'📋 Inputs'!$D$7))*'🐱 Cat Curve Intake'!D$10))</f>
        <v>2.8266666666666662</v>
      </c>
      <c r="E62" s="57">
        <f>$O$62*((('📋 Inputs'!$D$7/('📋 Inputs'!$D$6+'📋 Inputs'!$D$7))/12)+(('📋 Inputs'!$D$6/('📋 Inputs'!$D$6+'📋 Inputs'!$D$7))*'🐱 Cat Curve Intake'!E$10))</f>
        <v>3.0133333333333336</v>
      </c>
      <c r="F62" s="57">
        <f>$O$62*((('📋 Inputs'!$D$7/('📋 Inputs'!$D$6+'📋 Inputs'!$D$7))/12)+(('📋 Inputs'!$D$6/('📋 Inputs'!$D$6+'📋 Inputs'!$D$7))*'🐱 Cat Curve Intake'!F$10))</f>
        <v>3.3599999999999994</v>
      </c>
      <c r="G62" s="57">
        <f>$O$62*((('📋 Inputs'!$D$7/('📋 Inputs'!$D$6+'📋 Inputs'!$D$7))/12)+(('📋 Inputs'!$D$6/('📋 Inputs'!$D$6+'📋 Inputs'!$D$7))*'🐱 Cat Curve Intake'!G$10))</f>
        <v>3.76</v>
      </c>
      <c r="H62" s="57">
        <f>$O$62*((('📋 Inputs'!$D$7/('📋 Inputs'!$D$6+'📋 Inputs'!$D$7))/12)+(('📋 Inputs'!$D$6/('📋 Inputs'!$D$6+'📋 Inputs'!$D$7))*'🐱 Cat Curve Intake'!H$10))</f>
        <v>3.76</v>
      </c>
      <c r="I62" s="57">
        <f>$O$62*((('📋 Inputs'!$D$7/('📋 Inputs'!$D$6+'📋 Inputs'!$D$7))/12)+(('📋 Inputs'!$D$6/('📋 Inputs'!$D$6+'📋 Inputs'!$D$7))*'🐱 Cat Curve Intake'!I$10))</f>
        <v>3.6533333333333329</v>
      </c>
      <c r="J62" s="57">
        <f>$O$62*((('📋 Inputs'!$D$7/('📋 Inputs'!$D$6+'📋 Inputs'!$D$7))/12)+(('📋 Inputs'!$D$6/('📋 Inputs'!$D$6+'📋 Inputs'!$D$7))*'🐱 Cat Curve Intake'!J$10))</f>
        <v>3.5733333333333328</v>
      </c>
      <c r="K62" s="57">
        <f>$O$62*((('📋 Inputs'!$D$7/('📋 Inputs'!$D$6+'📋 Inputs'!$D$7))/12)+(('📋 Inputs'!$D$6/('📋 Inputs'!$D$6+'📋 Inputs'!$D$7))*'🐱 Cat Curve Intake'!K$10))</f>
        <v>3.5466666666666669</v>
      </c>
      <c r="L62" s="57">
        <f>$O$62*((('📋 Inputs'!$D$7/('📋 Inputs'!$D$6+'📋 Inputs'!$D$7))/12)+(('📋 Inputs'!$D$6/('📋 Inputs'!$D$6+'📋 Inputs'!$D$7))*'🐱 Cat Curve Intake'!L$10))</f>
        <v>3.5466666666666669</v>
      </c>
      <c r="M62" s="57">
        <f>$O$62*((('📋 Inputs'!$D$7/('📋 Inputs'!$D$6+'📋 Inputs'!$D$7))/12)+(('📋 Inputs'!$D$6/('📋 Inputs'!$D$6+'📋 Inputs'!$D$7))*'🐱 Cat Curve Intake'!M$10))</f>
        <v>3.12</v>
      </c>
      <c r="N62" s="57">
        <f>$O$62*((('📋 Inputs'!$D$7/('📋 Inputs'!$D$6+'📋 Inputs'!$D$7))/12)+(('📋 Inputs'!$D$6/('📋 Inputs'!$D$6+'📋 Inputs'!$D$7))*'🐱 Cat Curve Intake'!N$10))</f>
        <v>2.96</v>
      </c>
      <c r="O62" s="58">
        <f>'📊 Budget Summary'!F76</f>
        <v>40</v>
      </c>
    </row>
    <row r="63" spans="2:15" ht="18" customHeight="1" x14ac:dyDescent="0.2">
      <c r="B63" s="8" t="s">
        <v>198</v>
      </c>
      <c r="C63" s="57">
        <f>$O$63*((('📋 Inputs'!$D$7/('📋 Inputs'!$D$6+'📋 Inputs'!$D$7))/12)+(('📋 Inputs'!$D$6/('📋 Inputs'!$D$6+'📋 Inputs'!$D$7))*'🐱 Cat Curve Intake'!C$10))</f>
        <v>25.488</v>
      </c>
      <c r="D63" s="57">
        <f>$O$63*((('📋 Inputs'!$D$7/('📋 Inputs'!$D$6+'📋 Inputs'!$D$7))/12)+(('📋 Inputs'!$D$6/('📋 Inputs'!$D$6+'📋 Inputs'!$D$7))*'🐱 Cat Curve Intake'!D$10))</f>
        <v>25.015999999999995</v>
      </c>
      <c r="E63" s="57">
        <f>$O$63*((('📋 Inputs'!$D$7/('📋 Inputs'!$D$6+'📋 Inputs'!$D$7))/12)+(('📋 Inputs'!$D$6/('📋 Inputs'!$D$6+'📋 Inputs'!$D$7))*'🐱 Cat Curve Intake'!E$10))</f>
        <v>26.667999999999999</v>
      </c>
      <c r="F63" s="57">
        <f>$O$63*((('📋 Inputs'!$D$7/('📋 Inputs'!$D$6+'📋 Inputs'!$D$7))/12)+(('📋 Inputs'!$D$6/('📋 Inputs'!$D$6+'📋 Inputs'!$D$7))*'🐱 Cat Curve Intake'!F$10))</f>
        <v>29.735999999999997</v>
      </c>
      <c r="G63" s="57">
        <f>$O$63*((('📋 Inputs'!$D$7/('📋 Inputs'!$D$6+'📋 Inputs'!$D$7))/12)+(('📋 Inputs'!$D$6/('📋 Inputs'!$D$6+'📋 Inputs'!$D$7))*'🐱 Cat Curve Intake'!G$10))</f>
        <v>33.276000000000003</v>
      </c>
      <c r="H63" s="57">
        <f>$O$63*((('📋 Inputs'!$D$7/('📋 Inputs'!$D$6+'📋 Inputs'!$D$7))/12)+(('📋 Inputs'!$D$6/('📋 Inputs'!$D$6+'📋 Inputs'!$D$7))*'🐱 Cat Curve Intake'!H$10))</f>
        <v>33.276000000000003</v>
      </c>
      <c r="I63" s="57">
        <f>$O$63*((('📋 Inputs'!$D$7/('📋 Inputs'!$D$6+'📋 Inputs'!$D$7))/12)+(('📋 Inputs'!$D$6/('📋 Inputs'!$D$6+'📋 Inputs'!$D$7))*'🐱 Cat Curve Intake'!I$10))</f>
        <v>32.331999999999994</v>
      </c>
      <c r="J63" s="57">
        <f>$O$63*((('📋 Inputs'!$D$7/('📋 Inputs'!$D$6+'📋 Inputs'!$D$7))/12)+(('📋 Inputs'!$D$6/('📋 Inputs'!$D$6+'📋 Inputs'!$D$7))*'🐱 Cat Curve Intake'!J$10))</f>
        <v>31.623999999999995</v>
      </c>
      <c r="K63" s="57">
        <f>$O$63*((('📋 Inputs'!$D$7/('📋 Inputs'!$D$6+'📋 Inputs'!$D$7))/12)+(('📋 Inputs'!$D$6/('📋 Inputs'!$D$6+'📋 Inputs'!$D$7))*'🐱 Cat Curve Intake'!K$10))</f>
        <v>31.388000000000002</v>
      </c>
      <c r="L63" s="57">
        <f>$O$63*((('📋 Inputs'!$D$7/('📋 Inputs'!$D$6+'📋 Inputs'!$D$7))/12)+(('📋 Inputs'!$D$6/('📋 Inputs'!$D$6+'📋 Inputs'!$D$7))*'🐱 Cat Curve Intake'!L$10))</f>
        <v>31.388000000000002</v>
      </c>
      <c r="M63" s="57">
        <f>$O$63*((('📋 Inputs'!$D$7/('📋 Inputs'!$D$6+'📋 Inputs'!$D$7))/12)+(('📋 Inputs'!$D$6/('📋 Inputs'!$D$6+'📋 Inputs'!$D$7))*'🐱 Cat Curve Intake'!M$10))</f>
        <v>27.611999999999998</v>
      </c>
      <c r="N63" s="57">
        <f>$O$63*((('📋 Inputs'!$D$7/('📋 Inputs'!$D$6+'📋 Inputs'!$D$7))/12)+(('📋 Inputs'!$D$6/('📋 Inputs'!$D$6+'📋 Inputs'!$D$7))*'🐱 Cat Curve Intake'!N$10))</f>
        <v>26.195999999999998</v>
      </c>
      <c r="O63" s="58">
        <f>'📊 Budget Summary'!F77</f>
        <v>354</v>
      </c>
    </row>
    <row r="64" spans="2:15" ht="16.5" customHeight="1" x14ac:dyDescent="0.2">
      <c r="B64" s="55" t="s">
        <v>123</v>
      </c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6">
        <f ca="1">SUM(O46:O69)</f>
        <v>112500</v>
      </c>
    </row>
    <row r="65" spans="2:15" ht="18" customHeight="1" x14ac:dyDescent="0.2">
      <c r="B65" s="8" t="s">
        <v>244</v>
      </c>
      <c r="C65" s="57">
        <f>IFERROR('📊 Budget Summary'!F134/12,0)</f>
        <v>0</v>
      </c>
      <c r="D65" s="57">
        <f>IFERROR('📊 Budget Summary'!F134/12,0)</f>
        <v>0</v>
      </c>
      <c r="E65" s="57">
        <f>IFERROR('📊 Budget Summary'!F134/12,0)</f>
        <v>0</v>
      </c>
      <c r="F65" s="57">
        <f>IFERROR('📊 Budget Summary'!F134/12,0)</f>
        <v>0</v>
      </c>
      <c r="G65" s="57">
        <f>IFERROR('📊 Budget Summary'!F134/12,0)</f>
        <v>0</v>
      </c>
      <c r="H65" s="57">
        <f>IFERROR('📊 Budget Summary'!F134/12,0)</f>
        <v>0</v>
      </c>
      <c r="I65" s="57">
        <f>IFERROR('📊 Budget Summary'!F134/12,0)</f>
        <v>0</v>
      </c>
      <c r="J65" s="57">
        <f>IFERROR('📊 Budget Summary'!F134/12,0)</f>
        <v>0</v>
      </c>
      <c r="K65" s="57">
        <f>IFERROR('📊 Budget Summary'!F134/12,0)</f>
        <v>0</v>
      </c>
      <c r="L65" s="57">
        <f>IFERROR('📊 Budget Summary'!F134/12,0)</f>
        <v>0</v>
      </c>
      <c r="M65" s="57">
        <f>IFERROR('📊 Budget Summary'!F134/12,0)</f>
        <v>0</v>
      </c>
      <c r="N65" s="57">
        <f>IFERROR('📊 Budget Summary'!F134/12,0)</f>
        <v>0</v>
      </c>
      <c r="O65" s="58">
        <f>'📊 Budget Summary'!F134</f>
        <v>0</v>
      </c>
    </row>
    <row r="66" spans="2:15" ht="18" customHeight="1" x14ac:dyDescent="0.2">
      <c r="B66" s="8" t="s">
        <v>245</v>
      </c>
      <c r="C66" s="57">
        <f>IFERROR('📊 Budget Summary'!F135/12,0)</f>
        <v>0</v>
      </c>
      <c r="D66" s="57">
        <f>IFERROR('📊 Budget Summary'!F135/12,0)</f>
        <v>0</v>
      </c>
      <c r="E66" s="57">
        <f>IFERROR('📊 Budget Summary'!F135/12,0)</f>
        <v>0</v>
      </c>
      <c r="F66" s="57">
        <f>IFERROR('📊 Budget Summary'!F135/12,0)</f>
        <v>0</v>
      </c>
      <c r="G66" s="57">
        <f>IFERROR('📊 Budget Summary'!F135/12,0)</f>
        <v>0</v>
      </c>
      <c r="H66" s="57">
        <f>IFERROR('📊 Budget Summary'!F135/12,0)</f>
        <v>0</v>
      </c>
      <c r="I66" s="57">
        <f>IFERROR('📊 Budget Summary'!F135/12,0)</f>
        <v>0</v>
      </c>
      <c r="J66" s="57">
        <f>IFERROR('📊 Budget Summary'!F135/12,0)</f>
        <v>0</v>
      </c>
      <c r="K66" s="57">
        <f>IFERROR('📊 Budget Summary'!F135/12,0)</f>
        <v>0</v>
      </c>
      <c r="L66" s="57">
        <f>IFERROR('📊 Budget Summary'!F135/12,0)</f>
        <v>0</v>
      </c>
      <c r="M66" s="57">
        <f>IFERROR('📊 Budget Summary'!F135/12,0)</f>
        <v>0</v>
      </c>
      <c r="N66" s="57">
        <f>IFERROR('📊 Budget Summary'!F135/12,0)</f>
        <v>0</v>
      </c>
      <c r="O66" s="58">
        <f>'📊 Budget Summary'!F135</f>
        <v>0</v>
      </c>
    </row>
    <row r="67" spans="2:15" ht="18" customHeight="1" x14ac:dyDescent="0.2">
      <c r="B67" s="8" t="s">
        <v>246</v>
      </c>
      <c r="C67" s="57">
        <f>IFERROR('📊 Budget Summary'!F136/12,0)</f>
        <v>0</v>
      </c>
      <c r="D67" s="57">
        <f>IFERROR('📊 Budget Summary'!F136/12,0)</f>
        <v>0</v>
      </c>
      <c r="E67" s="57">
        <f>IFERROR('📊 Budget Summary'!F136/12,0)</f>
        <v>0</v>
      </c>
      <c r="F67" s="57">
        <f>IFERROR('📊 Budget Summary'!F136/12,0)</f>
        <v>0</v>
      </c>
      <c r="G67" s="57">
        <f>IFERROR('📊 Budget Summary'!F136/12,0)</f>
        <v>0</v>
      </c>
      <c r="H67" s="57">
        <f>IFERROR('📊 Budget Summary'!F136/12,0)</f>
        <v>0</v>
      </c>
      <c r="I67" s="57">
        <f>IFERROR('📊 Budget Summary'!F136/12,0)</f>
        <v>0</v>
      </c>
      <c r="J67" s="57">
        <f>IFERROR('📊 Budget Summary'!F136/12,0)</f>
        <v>0</v>
      </c>
      <c r="K67" s="57">
        <f>IFERROR('📊 Budget Summary'!F136/12,0)</f>
        <v>0</v>
      </c>
      <c r="L67" s="57">
        <f>IFERROR('📊 Budget Summary'!F136/12,0)</f>
        <v>0</v>
      </c>
      <c r="M67" s="57">
        <f>IFERROR('📊 Budget Summary'!F136/12,0)</f>
        <v>0</v>
      </c>
      <c r="N67" s="57">
        <f>IFERROR('📊 Budget Summary'!F136/12,0)</f>
        <v>0</v>
      </c>
      <c r="O67" s="58">
        <f>'📊 Budget Summary'!F136</f>
        <v>0</v>
      </c>
    </row>
    <row r="68" spans="2:15" ht="18" customHeight="1" x14ac:dyDescent="0.2">
      <c r="B68" s="8" t="s">
        <v>247</v>
      </c>
      <c r="C68" s="57">
        <f>IFERROR('📊 Budget Summary'!F137/12,0)</f>
        <v>0</v>
      </c>
      <c r="D68" s="57">
        <f>IFERROR('📊 Budget Summary'!F137/12,0)</f>
        <v>0</v>
      </c>
      <c r="E68" s="57">
        <f>IFERROR('📊 Budget Summary'!F137/12,0)</f>
        <v>0</v>
      </c>
      <c r="F68" s="57">
        <f>IFERROR('📊 Budget Summary'!F137/12,0)</f>
        <v>0</v>
      </c>
      <c r="G68" s="57">
        <f>IFERROR('📊 Budget Summary'!F137/12,0)</f>
        <v>0</v>
      </c>
      <c r="H68" s="57">
        <f>IFERROR('📊 Budget Summary'!F137/12,0)</f>
        <v>0</v>
      </c>
      <c r="I68" s="57">
        <f>IFERROR('📊 Budget Summary'!F137/12,0)</f>
        <v>0</v>
      </c>
      <c r="J68" s="57">
        <f>IFERROR('📊 Budget Summary'!F137/12,0)</f>
        <v>0</v>
      </c>
      <c r="K68" s="57">
        <f>IFERROR('📊 Budget Summary'!F137/12,0)</f>
        <v>0</v>
      </c>
      <c r="L68" s="57">
        <f>IFERROR('📊 Budget Summary'!F137/12,0)</f>
        <v>0</v>
      </c>
      <c r="M68" s="57">
        <f>IFERROR('📊 Budget Summary'!F137/12,0)</f>
        <v>0</v>
      </c>
      <c r="N68" s="57">
        <f>IFERROR('📊 Budget Summary'!F137/12,0)</f>
        <v>0</v>
      </c>
      <c r="O68" s="58">
        <f>'📊 Budget Summary'!F137</f>
        <v>0</v>
      </c>
    </row>
    <row r="69" spans="2:15" ht="18" customHeight="1" x14ac:dyDescent="0.2">
      <c r="B69" s="8" t="s">
        <v>248</v>
      </c>
      <c r="C69" s="57">
        <f>IFERROR('📊 Budget Summary'!F138/12,0)</f>
        <v>0</v>
      </c>
      <c r="D69" s="57">
        <f>IFERROR('📊 Budget Summary'!F138/12,0)</f>
        <v>0</v>
      </c>
      <c r="E69" s="57">
        <f>IFERROR('📊 Budget Summary'!F138/12,0)</f>
        <v>0</v>
      </c>
      <c r="F69" s="57">
        <f>IFERROR('📊 Budget Summary'!F138/12,0)</f>
        <v>0</v>
      </c>
      <c r="G69" s="57">
        <f>IFERROR('📊 Budget Summary'!F138/12,0)</f>
        <v>0</v>
      </c>
      <c r="H69" s="57">
        <f>IFERROR('📊 Budget Summary'!F138/12,0)</f>
        <v>0</v>
      </c>
      <c r="I69" s="57">
        <f>IFERROR('📊 Budget Summary'!F138/12,0)</f>
        <v>0</v>
      </c>
      <c r="J69" s="57">
        <f>IFERROR('📊 Budget Summary'!F138/12,0)</f>
        <v>0</v>
      </c>
      <c r="K69" s="57">
        <f>IFERROR('📊 Budget Summary'!F138/12,0)</f>
        <v>0</v>
      </c>
      <c r="L69" s="57">
        <f>IFERROR('📊 Budget Summary'!F138/12,0)</f>
        <v>0</v>
      </c>
      <c r="M69" s="57">
        <f>IFERROR('📊 Budget Summary'!F138/12,0)</f>
        <v>0</v>
      </c>
      <c r="N69" s="57">
        <f>IFERROR('📊 Budget Summary'!F138/12,0)</f>
        <v>0</v>
      </c>
      <c r="O69" s="58">
        <f>'📊 Budget Summary'!F138</f>
        <v>0</v>
      </c>
    </row>
    <row r="70" spans="2:15" ht="14.25" customHeight="1" x14ac:dyDescent="0.2">
      <c r="B70" s="63" t="s">
        <v>289</v>
      </c>
      <c r="C70" s="64">
        <f t="shared" ref="C70:N70" si="8">SUMPRODUCT((C4:C69)*ISNUMBER(C4:C69))</f>
        <v>34946.394666666667</v>
      </c>
      <c r="D70" s="64">
        <f t="shared" si="8"/>
        <v>34616.860000000008</v>
      </c>
      <c r="E70" s="64">
        <f t="shared" si="8"/>
        <v>35770.231333333344</v>
      </c>
      <c r="F70" s="64">
        <f t="shared" si="8"/>
        <v>37912.206666666665</v>
      </c>
      <c r="G70" s="64">
        <f t="shared" si="8"/>
        <v>40383.716666666667</v>
      </c>
      <c r="H70" s="64">
        <f t="shared" si="8"/>
        <v>40383.716666666667</v>
      </c>
      <c r="I70" s="64">
        <f t="shared" si="8"/>
        <v>39724.647333333327</v>
      </c>
      <c r="J70" s="64">
        <f t="shared" si="8"/>
        <v>39230.345333333338</v>
      </c>
      <c r="K70" s="64">
        <f t="shared" si="8"/>
        <v>39065.578000000009</v>
      </c>
      <c r="L70" s="64">
        <f t="shared" si="8"/>
        <v>39065.578000000009</v>
      </c>
      <c r="M70" s="64">
        <f t="shared" si="8"/>
        <v>36429.300666666662</v>
      </c>
      <c r="N70" s="64">
        <f t="shared" si="8"/>
        <v>35440.69666666667</v>
      </c>
      <c r="O70" s="64">
        <f ca="1">SUM(O64,O60,O56,O52,O46,O43,O39,O34,O28,O22,O13,O4)</f>
        <v>465123</v>
      </c>
    </row>
    <row r="71" spans="2:15" ht="15" customHeight="1" x14ac:dyDescent="0.2"/>
    <row r="72" spans="2:15" ht="15" customHeight="1" x14ac:dyDescent="0.2"/>
    <row r="73" spans="2:15" ht="15" customHeight="1" x14ac:dyDescent="0.2"/>
    <row r="74" spans="2:15" ht="15" customHeight="1" x14ac:dyDescent="0.2"/>
    <row r="75" spans="2:15" ht="15" customHeight="1" x14ac:dyDescent="0.2"/>
    <row r="76" spans="2:15" ht="15" customHeight="1" x14ac:dyDescent="0.2"/>
  </sheetData>
  <sheetProtection algorithmName="SHA-512" hashValue="pDWN6AuwIhjUW88nsCVhivCORE8lO3Uekc3xYe+0LHVMP4r00+L96CCUKmnU82iJAwrL1Nn+FHRD4aR8dMk39w==" saltValue="f4ch7oUO7os03ZhdfpMQaA==" spinCount="100000" sheet="1" objects="1" scenarios="1"/>
  <mergeCells count="2">
    <mergeCell ref="B1:O1"/>
    <mergeCell ref="B2:O2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20"/>
  <sheetViews>
    <sheetView showGridLines="0" zoomScaleNormal="100" workbookViewId="0">
      <selection activeCell="L3" sqref="L3"/>
    </sheetView>
  </sheetViews>
  <sheetFormatPr baseColWidth="10" defaultColWidth="8.5" defaultRowHeight="15" x14ac:dyDescent="0.2"/>
  <cols>
    <col min="1" max="1" width="2" customWidth="1"/>
    <col min="2" max="2" width="28" customWidth="1"/>
    <col min="3" max="7" width="18" customWidth="1"/>
    <col min="8" max="8" width="14" customWidth="1"/>
    <col min="9" max="9" width="9.83203125" customWidth="1"/>
    <col min="10" max="10" width="9.5" customWidth="1"/>
  </cols>
  <sheetData>
    <row r="1" spans="2:7" ht="36" customHeight="1" x14ac:dyDescent="0.2">
      <c r="B1" s="89" t="s">
        <v>290</v>
      </c>
      <c r="C1" s="88"/>
      <c r="D1" s="88"/>
      <c r="E1" s="88"/>
      <c r="F1" s="88"/>
      <c r="G1" s="88"/>
    </row>
    <row r="2" spans="2:7" ht="19.5" customHeight="1" x14ac:dyDescent="0.2">
      <c r="B2" s="87" t="s">
        <v>291</v>
      </c>
      <c r="C2" s="88"/>
      <c r="D2" s="88"/>
      <c r="E2" s="88"/>
      <c r="F2" s="88"/>
      <c r="G2" s="88"/>
    </row>
    <row r="3" spans="2:7" ht="24" customHeight="1" x14ac:dyDescent="0.2">
      <c r="B3" s="2" t="s">
        <v>292</v>
      </c>
      <c r="C3" s="2" t="s">
        <v>38</v>
      </c>
      <c r="D3" s="2" t="s">
        <v>33</v>
      </c>
      <c r="E3" s="2" t="s">
        <v>30</v>
      </c>
      <c r="F3" s="2" t="s">
        <v>293</v>
      </c>
      <c r="G3" s="2" t="s">
        <v>294</v>
      </c>
    </row>
    <row r="4" spans="2:7" ht="21.75" customHeight="1" x14ac:dyDescent="0.2">
      <c r="B4" s="75" t="s">
        <v>295</v>
      </c>
      <c r="C4" s="76">
        <f>'📋 Inputs'!D6</f>
        <v>600</v>
      </c>
      <c r="D4" s="76">
        <f>'📋 Inputs'!D7</f>
        <v>900</v>
      </c>
      <c r="E4" s="77">
        <f t="shared" ref="E4:E9" si="0">C4+D4</f>
        <v>1500</v>
      </c>
      <c r="F4" s="78">
        <f>IFERROR('📊 Budget Summary'!F141*E4/('📋 Inputs'!D6+'📋 Inputs'!D7),0)</f>
        <v>603608.33600000001</v>
      </c>
      <c r="G4" s="46">
        <f t="shared" ref="G4:G9" si="1">IFERROR(F4/E4,0)</f>
        <v>402.40555733333332</v>
      </c>
    </row>
    <row r="5" spans="2:7" ht="21.75" customHeight="1" x14ac:dyDescent="0.2">
      <c r="B5" s="75" t="s">
        <v>296</v>
      </c>
      <c r="C5" s="76">
        <f>C4-(C4*0.25)</f>
        <v>450</v>
      </c>
      <c r="D5" s="76">
        <f>D4-(D4*0.25)</f>
        <v>675</v>
      </c>
      <c r="E5" s="77">
        <f t="shared" si="0"/>
        <v>1125</v>
      </c>
      <c r="F5" s="79">
        <f>IFERROR('📊 Budget Summary'!F141*E5/('📋 Inputs'!D6+'📋 Inputs'!D7),0)</f>
        <v>452706.25199999998</v>
      </c>
      <c r="G5" s="46">
        <f t="shared" si="1"/>
        <v>402.40555733333332</v>
      </c>
    </row>
    <row r="6" spans="2:7" ht="21.75" customHeight="1" x14ac:dyDescent="0.2">
      <c r="B6" s="75" t="s">
        <v>297</v>
      </c>
      <c r="C6" s="76">
        <f>C4-(C4*0.1)</f>
        <v>540</v>
      </c>
      <c r="D6" s="76">
        <f>D4-(D4*0.1)</f>
        <v>810</v>
      </c>
      <c r="E6" s="77">
        <f t="shared" si="0"/>
        <v>1350</v>
      </c>
      <c r="F6" s="79">
        <f>IFERROR('📊 Budget Summary'!F141*E6/('📋 Inputs'!D6+'📋 Inputs'!D7),0)</f>
        <v>543247.5024</v>
      </c>
      <c r="G6" s="46">
        <f t="shared" si="1"/>
        <v>402.40555733333332</v>
      </c>
    </row>
    <row r="7" spans="2:7" ht="21.75" customHeight="1" x14ac:dyDescent="0.2">
      <c r="B7" s="75" t="s">
        <v>298</v>
      </c>
      <c r="C7" s="76">
        <f>C4+(C4*0.1)</f>
        <v>660</v>
      </c>
      <c r="D7" s="76">
        <f>D4+(D4*0.1)</f>
        <v>990</v>
      </c>
      <c r="E7" s="77">
        <f t="shared" si="0"/>
        <v>1650</v>
      </c>
      <c r="F7" s="79">
        <f>IFERROR('📊 Budget Summary'!F141*E7/('📋 Inputs'!D6+'📋 Inputs'!D7),0)</f>
        <v>663969.16960000002</v>
      </c>
      <c r="G7" s="46">
        <f t="shared" si="1"/>
        <v>402.40555733333332</v>
      </c>
    </row>
    <row r="8" spans="2:7" ht="21.75" customHeight="1" x14ac:dyDescent="0.2">
      <c r="B8" s="75" t="s">
        <v>299</v>
      </c>
      <c r="C8" s="76">
        <f>C4+(C4*0.25)</f>
        <v>750</v>
      </c>
      <c r="D8" s="76">
        <f>D4+(D4*0.25)</f>
        <v>1125</v>
      </c>
      <c r="E8" s="77">
        <f t="shared" si="0"/>
        <v>1875</v>
      </c>
      <c r="F8" s="79">
        <f>IFERROR('📊 Budget Summary'!F141*E8/('📋 Inputs'!D6+'📋 Inputs'!D7),0)</f>
        <v>754510.42</v>
      </c>
      <c r="G8" s="46">
        <f t="shared" si="1"/>
        <v>402.40555733333338</v>
      </c>
    </row>
    <row r="9" spans="2:7" ht="21.75" customHeight="1" x14ac:dyDescent="0.2">
      <c r="B9" s="75" t="s">
        <v>300</v>
      </c>
      <c r="C9" s="6">
        <v>1200</v>
      </c>
      <c r="D9" s="6">
        <v>1200</v>
      </c>
      <c r="E9" s="77">
        <f t="shared" si="0"/>
        <v>2400</v>
      </c>
      <c r="F9" s="79">
        <f>IFERROR('📊 Budget Summary'!F141*E9/('📋 Inputs'!D6+'📋 Inputs'!D7),0)</f>
        <v>965773.33760000009</v>
      </c>
      <c r="G9" s="46">
        <f t="shared" si="1"/>
        <v>402.40555733333338</v>
      </c>
    </row>
    <row r="11" spans="2:7" ht="15" customHeight="1" x14ac:dyDescent="0.2">
      <c r="B11" s="80" t="s">
        <v>301</v>
      </c>
    </row>
    <row r="12" spans="2:7" ht="14.25" customHeight="1" x14ac:dyDescent="0.2">
      <c r="B12" s="1" t="s">
        <v>302</v>
      </c>
      <c r="C12" s="81"/>
      <c r="D12" s="81"/>
      <c r="E12" s="81"/>
      <c r="F12" s="81"/>
    </row>
    <row r="13" spans="2:7" ht="24" customHeight="1" x14ac:dyDescent="0.2">
      <c r="B13" s="2" t="s">
        <v>292</v>
      </c>
      <c r="C13" s="2" t="s">
        <v>38</v>
      </c>
      <c r="D13" s="2" t="s">
        <v>33</v>
      </c>
      <c r="E13" s="2" t="s">
        <v>30</v>
      </c>
      <c r="F13" s="2" t="s">
        <v>293</v>
      </c>
      <c r="G13" s="2" t="s">
        <v>294</v>
      </c>
    </row>
    <row r="14" spans="2:7" ht="21.75" customHeight="1" x14ac:dyDescent="0.2">
      <c r="B14" s="75" t="s">
        <v>295</v>
      </c>
      <c r="C14" s="76">
        <f>'📋 Inputs'!D6</f>
        <v>600</v>
      </c>
      <c r="D14" s="76">
        <f>'📋 Inputs'!D7</f>
        <v>900</v>
      </c>
      <c r="E14" s="77">
        <f t="shared" ref="E14:E19" si="2">C14+D14</f>
        <v>1500</v>
      </c>
      <c r="F14" s="79">
        <f ca="1">'📅 Monthly View'!O70</f>
        <v>465123</v>
      </c>
      <c r="G14" s="46">
        <f ca="1">F14/('📋 Inputs'!D6+'📋 Inputs'!D7)</f>
        <v>310.08199999999999</v>
      </c>
    </row>
    <row r="15" spans="2:7" ht="21.75" customHeight="1" x14ac:dyDescent="0.2">
      <c r="B15" s="75" t="s">
        <v>296</v>
      </c>
      <c r="C15" s="76">
        <f>C14-(C14*0.25)</f>
        <v>450</v>
      </c>
      <c r="D15" s="76">
        <f>D14-(D14*0.25)</f>
        <v>675</v>
      </c>
      <c r="E15" s="77">
        <f t="shared" si="2"/>
        <v>1125</v>
      </c>
      <c r="F15" s="79">
        <f ca="1">IFERROR('📅 Monthly View'!O70*E15/('📋 Inputs'!D6+'📋 Inputs'!D7),0)</f>
        <v>348842.25</v>
      </c>
      <c r="G15" s="46">
        <f ca="1">IFERROR(F15/E15,0)</f>
        <v>310.08199999999999</v>
      </c>
    </row>
    <row r="16" spans="2:7" ht="21.75" customHeight="1" x14ac:dyDescent="0.2">
      <c r="B16" s="75" t="s">
        <v>297</v>
      </c>
      <c r="C16" s="76">
        <f>C14-(C14*0.1)</f>
        <v>540</v>
      </c>
      <c r="D16" s="76">
        <f>D14-(D14*0.1)</f>
        <v>810</v>
      </c>
      <c r="E16" s="77">
        <f t="shared" si="2"/>
        <v>1350</v>
      </c>
      <c r="F16" s="79">
        <f ca="1">IFERROR('📅 Monthly View'!O70*E16/('📋 Inputs'!D6+'📋 Inputs'!D7),0)</f>
        <v>418610.7</v>
      </c>
      <c r="G16" s="46">
        <f ca="1">IFERROR(F16/E16,0)</f>
        <v>310.08199999999999</v>
      </c>
    </row>
    <row r="17" spans="2:7" ht="21.75" customHeight="1" x14ac:dyDescent="0.2">
      <c r="B17" s="75" t="s">
        <v>298</v>
      </c>
      <c r="C17" s="76">
        <f>C14+(C14*0.1)</f>
        <v>660</v>
      </c>
      <c r="D17" s="76">
        <f>D14+(D14*0.1)</f>
        <v>990</v>
      </c>
      <c r="E17" s="77">
        <f t="shared" si="2"/>
        <v>1650</v>
      </c>
      <c r="F17" s="79">
        <f ca="1">IFERROR('📅 Monthly View'!O70*E17/('📋 Inputs'!D6+'📋 Inputs'!D7),0)</f>
        <v>511635.3</v>
      </c>
      <c r="G17" s="46">
        <f ca="1">IFERROR(F17/E17,0)</f>
        <v>310.08199999999999</v>
      </c>
    </row>
    <row r="18" spans="2:7" ht="21.75" customHeight="1" x14ac:dyDescent="0.2">
      <c r="B18" s="75" t="s">
        <v>299</v>
      </c>
      <c r="C18" s="76">
        <f>C14+(C14*0.25)</f>
        <v>750</v>
      </c>
      <c r="D18" s="76">
        <f>D14+(D14*0.25)</f>
        <v>1125</v>
      </c>
      <c r="E18" s="77">
        <f t="shared" si="2"/>
        <v>1875</v>
      </c>
      <c r="F18" s="79">
        <f ca="1">IFERROR('📅 Monthly View'!O70*E18/('📋 Inputs'!D6+'📋 Inputs'!D7),0)</f>
        <v>581403.75</v>
      </c>
      <c r="G18" s="46">
        <f ca="1">IFERROR(F18/E18,0)</f>
        <v>310.08199999999999</v>
      </c>
    </row>
    <row r="19" spans="2:7" ht="21.75" customHeight="1" x14ac:dyDescent="0.2">
      <c r="B19" s="75" t="s">
        <v>300</v>
      </c>
      <c r="C19" s="6">
        <v>1200</v>
      </c>
      <c r="D19" s="6">
        <v>1200</v>
      </c>
      <c r="E19" s="77">
        <f t="shared" si="2"/>
        <v>2400</v>
      </c>
      <c r="F19" s="79">
        <f ca="1">IFERROR('📅 Monthly View'!O70*E19/('📋 Inputs'!D6+'📋 Inputs'!D7),0)</f>
        <v>744196.8</v>
      </c>
      <c r="G19" s="46">
        <f ca="1">IFERROR(F19/E19,0)</f>
        <v>310.08199999999999</v>
      </c>
    </row>
    <row r="20" spans="2:7" ht="14.25" customHeight="1" x14ac:dyDescent="0.2">
      <c r="B20" s="82" t="s">
        <v>303</v>
      </c>
    </row>
  </sheetData>
  <sheetProtection algorithmName="SHA-512" hashValue="coS164A/Ebn5b71qTwgyIik1oZ7J5Yv7rMdz3eZ05pHuPlmSUUpgoq8WNVXC3p49twN2ojOfjKcRGychLSIeIg==" saltValue="tCrSB0QfVgLOjnwGN8CulQ==" spinCount="100000" sheet="1" objects="1" scenarios="1"/>
  <protectedRanges>
    <protectedRange sqref="C9:D9" name="Range1"/>
    <protectedRange sqref="C19:D19" name="Range2"/>
  </protectedRanges>
  <mergeCells count="2">
    <mergeCell ref="B2:G2"/>
    <mergeCell ref="B1:G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📋 Inputs</vt:lpstr>
      <vt:lpstr>📊 Budget Summary</vt:lpstr>
      <vt:lpstr>🐱 Cat Curve Intake</vt:lpstr>
      <vt:lpstr>📅 Monthly View</vt:lpstr>
      <vt:lpstr>🔄 Scenarios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Kate Runy</cp:lastModifiedBy>
  <cp:revision>0</cp:revision>
  <dcterms:created xsi:type="dcterms:W3CDTF">2026-03-24T18:11:51Z</dcterms:created>
  <dcterms:modified xsi:type="dcterms:W3CDTF">2026-08-13T17:23:47Z</dcterms:modified>
  <cp:category/>
  <cp:contentStatus/>
</cp:coreProperties>
</file>